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2416"/>
  <workbookPr showInkAnnotation="0" autoCompressPictures="0"/>
  <bookViews>
    <workbookView xWindow="0" yWindow="0" windowWidth="28600" windowHeight="19520" tabRatio="500" activeTab="1"/>
  </bookViews>
  <sheets>
    <sheet name="Instructions" sheetId="2" r:id="rId1"/>
    <sheet name="Weaponeering" sheetId="1" r:id="rId2"/>
    <sheet name="Enemy Air" sheetId="5" r:id="rId3"/>
    <sheet name="Loadout" sheetId="3" r:id="rId4"/>
    <sheet name="Flight" sheetId="4" r:id="rId5"/>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D27" i="1" l="1"/>
  <c r="D28" i="1"/>
  <c r="D34" i="1"/>
  <c r="C34" i="1"/>
  <c r="C36" i="1"/>
  <c r="D36" i="1"/>
  <c r="E36" i="1"/>
  <c r="F36" i="1"/>
  <c r="G36" i="1"/>
  <c r="C24" i="5"/>
  <c r="C23" i="5"/>
  <c r="N12" i="3"/>
  <c r="D5" i="4"/>
  <c r="L13" i="5"/>
  <c r="J13" i="5"/>
  <c r="H13" i="5"/>
  <c r="F13" i="5"/>
  <c r="D13" i="5"/>
  <c r="G11" i="5"/>
  <c r="H10" i="5"/>
  <c r="H9" i="5"/>
  <c r="H8" i="5"/>
  <c r="H7" i="5"/>
  <c r="H6" i="5"/>
  <c r="H5" i="5"/>
  <c r="H4" i="5"/>
  <c r="I11" i="5"/>
  <c r="J10" i="5"/>
  <c r="J9" i="5"/>
  <c r="J8" i="5"/>
  <c r="J7" i="5"/>
  <c r="J6" i="5"/>
  <c r="J5" i="5"/>
  <c r="J4" i="5"/>
  <c r="E11" i="5"/>
  <c r="F10" i="5"/>
  <c r="F9" i="5"/>
  <c r="F8" i="5"/>
  <c r="F7" i="5"/>
  <c r="F6" i="5"/>
  <c r="F5" i="5"/>
  <c r="F4" i="5"/>
  <c r="C11" i="5"/>
  <c r="D10" i="5"/>
  <c r="D9" i="5"/>
  <c r="D8" i="5"/>
  <c r="D7" i="5"/>
  <c r="D6" i="5"/>
  <c r="D5" i="5"/>
  <c r="D4" i="5"/>
  <c r="K11" i="5"/>
  <c r="L10" i="5"/>
  <c r="L9" i="5"/>
  <c r="L8" i="5"/>
  <c r="L7" i="5"/>
  <c r="L6" i="5"/>
  <c r="L5" i="5"/>
  <c r="L4" i="5"/>
  <c r="K3" i="3"/>
  <c r="D4" i="4"/>
  <c r="G17" i="4"/>
  <c r="H140" i="3"/>
  <c r="H141" i="3"/>
  <c r="H143" i="3"/>
  <c r="H139" i="3"/>
  <c r="H144" i="3"/>
  <c r="H166" i="3"/>
  <c r="H170" i="3"/>
  <c r="H171" i="3"/>
  <c r="H32" i="3"/>
  <c r="H33" i="3"/>
  <c r="H35" i="3"/>
  <c r="H36" i="3"/>
  <c r="H59" i="3"/>
  <c r="H60" i="3"/>
  <c r="H62" i="3"/>
  <c r="H63" i="3"/>
  <c r="H86" i="3"/>
  <c r="H87" i="3"/>
  <c r="H89" i="3"/>
  <c r="H85" i="3"/>
  <c r="H90" i="3"/>
  <c r="H113" i="3"/>
  <c r="H114" i="3"/>
  <c r="H116" i="3"/>
  <c r="H112" i="3"/>
  <c r="H117" i="3"/>
  <c r="N11" i="3"/>
  <c r="D7" i="4"/>
  <c r="I17" i="4"/>
  <c r="F17" i="4"/>
  <c r="H132" i="3"/>
  <c r="H131" i="3"/>
  <c r="H133" i="3"/>
  <c r="H24" i="3"/>
  <c r="H23" i="3"/>
  <c r="H25" i="3"/>
  <c r="H51" i="3"/>
  <c r="H50" i="3"/>
  <c r="H52" i="3"/>
  <c r="H78" i="3"/>
  <c r="H77" i="3"/>
  <c r="H79" i="3"/>
  <c r="H105" i="3"/>
  <c r="H104" i="3"/>
  <c r="H106" i="3"/>
  <c r="H159" i="3"/>
  <c r="H160" i="3"/>
  <c r="M3" i="3"/>
  <c r="D6" i="4"/>
  <c r="H17" i="4"/>
  <c r="E17" i="4"/>
  <c r="D17" i="4"/>
  <c r="C17" i="4"/>
  <c r="G16" i="4"/>
  <c r="I16" i="4"/>
  <c r="F16" i="4"/>
  <c r="H16" i="4"/>
  <c r="E16" i="4"/>
  <c r="D16" i="4"/>
  <c r="C16" i="4"/>
  <c r="G15" i="4"/>
  <c r="I15" i="4"/>
  <c r="F15" i="4"/>
  <c r="H15" i="4"/>
  <c r="E15" i="4"/>
  <c r="D15" i="4"/>
  <c r="C15" i="4"/>
  <c r="G14" i="4"/>
  <c r="I14" i="4"/>
  <c r="F14" i="4"/>
  <c r="H14" i="4"/>
  <c r="E14" i="4"/>
  <c r="D14" i="4"/>
  <c r="C14" i="4"/>
  <c r="G13" i="4"/>
  <c r="I13" i="4"/>
  <c r="F13" i="4"/>
  <c r="H13" i="4"/>
  <c r="E13" i="4"/>
  <c r="D13" i="4"/>
  <c r="C13" i="4"/>
  <c r="F12" i="4"/>
  <c r="H12" i="4"/>
  <c r="G12" i="4"/>
  <c r="I12" i="4"/>
  <c r="E12" i="4"/>
  <c r="D12" i="4"/>
  <c r="C12" i="4"/>
  <c r="G11" i="4"/>
  <c r="I11" i="4"/>
  <c r="F11" i="4"/>
  <c r="H11" i="4"/>
  <c r="E11" i="4"/>
  <c r="D11" i="4"/>
  <c r="C11" i="4"/>
  <c r="G10" i="4"/>
  <c r="I10" i="4"/>
  <c r="F10" i="4"/>
  <c r="H10" i="4"/>
  <c r="K6" i="3"/>
  <c r="D3" i="4"/>
  <c r="E10" i="4"/>
  <c r="D10" i="4"/>
  <c r="C10" i="4"/>
  <c r="B5" i="3"/>
  <c r="B6" i="3"/>
  <c r="B7" i="3"/>
  <c r="B8" i="3"/>
  <c r="B9" i="3"/>
  <c r="H17" i="3"/>
  <c r="H71" i="3"/>
  <c r="H98" i="3"/>
  <c r="H125" i="3"/>
  <c r="H44" i="3"/>
  <c r="H152" i="3"/>
  <c r="C12" i="3"/>
  <c r="D12" i="3"/>
  <c r="H31" i="3"/>
  <c r="H206" i="3"/>
  <c r="H179" i="3"/>
  <c r="G43" i="1"/>
  <c r="G44" i="1"/>
  <c r="G45" i="1"/>
  <c r="C53" i="1"/>
  <c r="C11" i="3"/>
  <c r="B227" i="3"/>
  <c r="B200" i="3"/>
  <c r="B173" i="3"/>
  <c r="B146" i="3"/>
  <c r="B119" i="3"/>
  <c r="B92" i="3"/>
  <c r="B65" i="3"/>
  <c r="B38" i="3"/>
  <c r="H58" i="3"/>
  <c r="H193" i="3"/>
  <c r="H221" i="3"/>
  <c r="H222" i="3"/>
  <c r="H224" i="3"/>
  <c r="H220" i="3"/>
  <c r="H213" i="3"/>
  <c r="H212" i="3"/>
  <c r="H214" i="3"/>
  <c r="H186" i="3"/>
  <c r="H185" i="3"/>
  <c r="H187" i="3"/>
  <c r="H158" i="3"/>
  <c r="H225" i="3"/>
  <c r="H223" i="3"/>
  <c r="H194" i="3"/>
  <c r="H195" i="3"/>
  <c r="H197" i="3"/>
  <c r="H198" i="3"/>
  <c r="H196" i="3"/>
  <c r="H167" i="3"/>
  <c r="H168" i="3"/>
  <c r="H169" i="3"/>
  <c r="H142" i="3"/>
  <c r="H115" i="3"/>
  <c r="H88" i="3"/>
  <c r="H61" i="3"/>
  <c r="H34" i="3"/>
  <c r="C4" i="3"/>
  <c r="C5" i="3"/>
  <c r="C6" i="3"/>
  <c r="C7" i="3"/>
  <c r="C8" i="3"/>
  <c r="C9" i="3"/>
  <c r="K8" i="3"/>
  <c r="E9" i="3"/>
  <c r="G9" i="3"/>
  <c r="E8" i="3"/>
  <c r="G8" i="3"/>
  <c r="E7" i="3"/>
  <c r="G7" i="3"/>
  <c r="E6" i="3"/>
  <c r="G6" i="3"/>
  <c r="E5" i="3"/>
  <c r="G5" i="3"/>
  <c r="E4" i="3"/>
  <c r="G4" i="3"/>
  <c r="D4" i="3"/>
  <c r="D5" i="3"/>
  <c r="D6" i="3"/>
  <c r="D7" i="3"/>
  <c r="D8" i="3"/>
  <c r="D9" i="3"/>
  <c r="B4" i="3"/>
  <c r="C27" i="1"/>
  <c r="E9" i="1"/>
  <c r="E13" i="1"/>
  <c r="D11" i="1"/>
  <c r="D12" i="1"/>
  <c r="D10" i="1"/>
  <c r="D13" i="1"/>
  <c r="N36" i="1"/>
  <c r="O36" i="1"/>
  <c r="P36" i="1"/>
  <c r="Q36" i="1"/>
  <c r="N35" i="1"/>
  <c r="O35" i="1"/>
  <c r="P35" i="1"/>
  <c r="Q35" i="1"/>
  <c r="N34" i="1"/>
  <c r="O34" i="1"/>
  <c r="P34" i="1"/>
  <c r="Q34" i="1"/>
  <c r="N33" i="1"/>
  <c r="O33" i="1"/>
  <c r="P33" i="1"/>
  <c r="Q33" i="1"/>
  <c r="N32" i="1"/>
  <c r="O32" i="1"/>
  <c r="P32" i="1"/>
  <c r="Q32" i="1"/>
  <c r="N31" i="1"/>
  <c r="O31" i="1"/>
  <c r="P31" i="1"/>
  <c r="Q31" i="1"/>
  <c r="N30" i="1"/>
  <c r="O30" i="1"/>
  <c r="P30" i="1"/>
  <c r="Q30" i="1"/>
  <c r="N29" i="1"/>
  <c r="O29" i="1"/>
  <c r="P29" i="1"/>
  <c r="Q29" i="1"/>
  <c r="N28" i="1"/>
  <c r="O28" i="1"/>
  <c r="P28" i="1"/>
  <c r="Q28" i="1"/>
  <c r="N27" i="1"/>
  <c r="O27" i="1"/>
  <c r="P27" i="1"/>
  <c r="Q27" i="1"/>
  <c r="E7" i="1"/>
  <c r="M36" i="1"/>
  <c r="M35" i="1"/>
  <c r="M34" i="1"/>
  <c r="M33" i="1"/>
  <c r="M32" i="1"/>
  <c r="M31" i="1"/>
  <c r="M30" i="1"/>
  <c r="M29" i="1"/>
  <c r="M28" i="1"/>
  <c r="M27" i="1"/>
  <c r="B25" i="1"/>
  <c r="K36" i="1"/>
  <c r="K35" i="1"/>
  <c r="K34" i="1"/>
  <c r="K33" i="1"/>
  <c r="K32" i="1"/>
  <c r="K31" i="1"/>
  <c r="K30" i="1"/>
  <c r="K29" i="1"/>
  <c r="K28" i="1"/>
  <c r="K27" i="1"/>
  <c r="C30" i="1"/>
  <c r="D30" i="1"/>
  <c r="F27" i="1"/>
  <c r="E27" i="1"/>
  <c r="E30" i="1"/>
  <c r="F30" i="1"/>
  <c r="G30" i="1"/>
  <c r="H36" i="1"/>
  <c r="J36" i="1"/>
  <c r="I36" i="1"/>
  <c r="G27" i="1"/>
  <c r="F29" i="1"/>
  <c r="E29" i="1"/>
  <c r="D29" i="1"/>
  <c r="C29" i="1"/>
  <c r="C35" i="1"/>
  <c r="D35" i="1"/>
  <c r="E35" i="1"/>
  <c r="F35" i="1"/>
  <c r="G35" i="1"/>
  <c r="H35" i="1"/>
  <c r="J35" i="1"/>
  <c r="I35" i="1"/>
  <c r="G28" i="1"/>
  <c r="G34" i="1"/>
  <c r="F28" i="1"/>
  <c r="F34" i="1"/>
  <c r="E28" i="1"/>
  <c r="E34" i="1"/>
  <c r="H34" i="1"/>
  <c r="J34" i="1"/>
  <c r="I34" i="1"/>
  <c r="G33" i="1"/>
  <c r="F33" i="1"/>
  <c r="E33" i="1"/>
  <c r="D33" i="1"/>
  <c r="C33" i="1"/>
  <c r="H33" i="1"/>
  <c r="J33" i="1"/>
  <c r="I33" i="1"/>
  <c r="B24" i="1"/>
  <c r="F44" i="1"/>
  <c r="F43" i="1"/>
  <c r="F45" i="1"/>
  <c r="F46" i="1"/>
  <c r="F47" i="1"/>
  <c r="F48" i="1"/>
  <c r="C51" i="1"/>
  <c r="C50" i="1"/>
  <c r="C52" i="1"/>
  <c r="C40" i="1"/>
  <c r="G48" i="1"/>
  <c r="G47" i="1"/>
  <c r="G46" i="1"/>
  <c r="H30" i="1"/>
  <c r="J30" i="1"/>
  <c r="I30" i="1"/>
  <c r="G31" i="1"/>
  <c r="H27" i="1"/>
  <c r="J27" i="1"/>
  <c r="C28" i="1"/>
  <c r="H28" i="1"/>
  <c r="J28" i="1"/>
  <c r="H29" i="1"/>
  <c r="J29" i="1"/>
  <c r="F31" i="1"/>
  <c r="E31" i="1"/>
  <c r="D31" i="1"/>
  <c r="C31" i="1"/>
  <c r="H31" i="1"/>
  <c r="J31" i="1"/>
  <c r="G32" i="1"/>
  <c r="F32" i="1"/>
  <c r="E32" i="1"/>
  <c r="D32" i="1"/>
  <c r="C32" i="1"/>
  <c r="H32" i="1"/>
  <c r="J32" i="1"/>
  <c r="I32" i="1"/>
  <c r="I31" i="1"/>
  <c r="I29" i="1"/>
  <c r="I28" i="1"/>
  <c r="I27" i="1"/>
</calcChain>
</file>

<file path=xl/sharedStrings.xml><?xml version="1.0" encoding="utf-8"?>
<sst xmlns="http://schemas.openxmlformats.org/spreadsheetml/2006/main" count="531" uniqueCount="247">
  <si>
    <t>Hits</t>
  </si>
  <si>
    <t>Dispersed</t>
  </si>
  <si>
    <t>N</t>
  </si>
  <si>
    <t>1 hit</t>
  </si>
  <si>
    <t>2 hits</t>
  </si>
  <si>
    <t>3 hits</t>
  </si>
  <si>
    <t>Base lethality per weapon</t>
  </si>
  <si>
    <t>4 hits</t>
  </si>
  <si>
    <t>Miss</t>
  </si>
  <si>
    <t>Min # of weapons to kill</t>
  </si>
  <si>
    <t>Immune against dispersed ("D")?</t>
  </si>
  <si>
    <t>Attack Numbers (if no attack number for indicated # of hits, fill in "-")</t>
  </si>
  <si>
    <t>Y</t>
  </si>
  <si>
    <t>Soft target factor ("S+?", 0 for none)</t>
  </si>
  <si>
    <t>Vehicular target factor ("V+?", 0 for none)</t>
  </si>
  <si>
    <t>Year</t>
  </si>
  <si>
    <t>Dispersed (Y/N)</t>
  </si>
  <si>
    <t>Fixed (Y/N)</t>
  </si>
  <si>
    <t>Hardened (Y/N)</t>
  </si>
  <si>
    <t>Small (Y/N)</t>
  </si>
  <si>
    <t>Soft (Y/N)</t>
  </si>
  <si>
    <t>Vehicle (Y/N)</t>
  </si>
  <si>
    <t>Type</t>
  </si>
  <si>
    <t>Quantity</t>
  </si>
  <si>
    <t>Lethality for all weapons this type</t>
  </si>
  <si>
    <t>Required hits to destroy target</t>
  </si>
  <si>
    <t>Total lethality, all weapon types</t>
  </si>
  <si>
    <t>Overkill factor</t>
  </si>
  <si>
    <t>Mk 84</t>
  </si>
  <si>
    <t>Weight per weapon</t>
  </si>
  <si>
    <t>Weight of all weapons this type</t>
  </si>
  <si>
    <t>Total payload required</t>
  </si>
  <si>
    <t>weight points</t>
  </si>
  <si>
    <t>Lethality per weight point</t>
  </si>
  <si>
    <t>Attack</t>
  </si>
  <si>
    <t>Soft factor</t>
  </si>
  <si>
    <t>Veh factor</t>
  </si>
  <si>
    <t>Weight</t>
  </si>
  <si>
    <t>Mk 20 Rockeye</t>
  </si>
  <si>
    <t>8/11/-/-</t>
  </si>
  <si>
    <t>Mk 82</t>
  </si>
  <si>
    <t>7/10/-/-</t>
  </si>
  <si>
    <t>Mk 83</t>
  </si>
  <si>
    <t>5/7/10/-</t>
  </si>
  <si>
    <t>3/5/8/-</t>
  </si>
  <si>
    <t>AGM-62</t>
  </si>
  <si>
    <t>AGM-65</t>
  </si>
  <si>
    <t>4/7/10/-</t>
  </si>
  <si>
    <t>AGM-84</t>
  </si>
  <si>
    <t>3/6/9/-</t>
  </si>
  <si>
    <t>AGM-88</t>
  </si>
  <si>
    <t>4/-/-/-</t>
  </si>
  <si>
    <t>Radar only</t>
  </si>
  <si>
    <t>AGM-130</t>
  </si>
  <si>
    <t>2/3/5/8</t>
  </si>
  <si>
    <t>AGM-154</t>
  </si>
  <si>
    <t>4/8/-/-</t>
  </si>
  <si>
    <t>GBU-10</t>
  </si>
  <si>
    <t>1/2/4/7</t>
  </si>
  <si>
    <t>GBU-16</t>
  </si>
  <si>
    <t>3/5/7/9</t>
  </si>
  <si>
    <t>GBU-31 JDAM</t>
  </si>
  <si>
    <t>0/2/5/9</t>
  </si>
  <si>
    <t>GBU-32 JDAM</t>
  </si>
  <si>
    <t>GBU-38 JDAM</t>
  </si>
  <si>
    <t>2/4/7/-</t>
  </si>
  <si>
    <t>3/9/-/-</t>
  </si>
  <si>
    <t>Rockets</t>
  </si>
  <si>
    <t>7/-/-/-</t>
  </si>
  <si>
    <t>WEAPON CHARACTERISTICS</t>
  </si>
  <si>
    <t>vs. ordinary target (fixed or mobile)</t>
  </si>
  <si>
    <t>INDIVIDUAL WEAPON ANALYSIS</t>
  </si>
  <si>
    <t>WEAPON EFFECT PROFILE</t>
  </si>
  <si>
    <t>vs. dispersed, soft target</t>
  </si>
  <si>
    <t>vs. dispersed, vehicular target</t>
  </si>
  <si>
    <t>vs. hardened, small target</t>
  </si>
  <si>
    <t>vs. small, dispersed, vehicular target</t>
  </si>
  <si>
    <t>-</t>
  </si>
  <si>
    <t>vs. dispersed target</t>
  </si>
  <si>
    <t>vs. hardened target</t>
  </si>
  <si>
    <t>vs. small target</t>
  </si>
  <si>
    <t>vs. soft target</t>
  </si>
  <si>
    <t>vs. vehicular target</t>
  </si>
  <si>
    <t>Roll mods</t>
  </si>
  <si>
    <t>Hit mods</t>
  </si>
  <si>
    <t>Mod roll</t>
  </si>
  <si>
    <t>Base hits</t>
  </si>
  <si>
    <t>Mod hits</t>
  </si>
  <si>
    <t>DIE ROLL</t>
  </si>
  <si>
    <t>HITS</t>
  </si>
  <si>
    <t>Net mods</t>
  </si>
  <si>
    <t>by Robin J. Lee &lt;amraamix@gmail.com&gt;</t>
  </si>
  <si>
    <t>WEAPONEERING ASSISTANT</t>
  </si>
  <si>
    <r>
      <t xml:space="preserve">for </t>
    </r>
    <r>
      <rPr>
        <i/>
        <sz val="18"/>
        <color theme="1"/>
        <rFont val="Calibri"/>
        <scheme val="minor"/>
      </rPr>
      <t>Hornet Leader: Carrier Air Operations (DVG)</t>
    </r>
  </si>
  <si>
    <t xml:space="preserve">weaponeering (U.S. Department of Defense):  The process of determining the quantity of a specific type of lethal or nonlethal weapons required to achieve a specific level of damage to a given target, considering target vulnerability, weapon effect, munitions delivery accuracy, damage criteria, probability of kill, and weapon reliability.  </t>
  </si>
  <si>
    <t>Weapon type</t>
  </si>
  <si>
    <t>I believe that the Weapon Effect Profile table contains rows for all target types available in the game.  Some combinations (such as a Soft, Small target) are theoretically possible but do not appear in the game; in this case, there is no Weapon Effect Profile data and no "This target" arrow will appear; however, the Die Roll Table will still populate correctly.</t>
  </si>
  <si>
    <t>Known Bugs and Notes</t>
  </si>
  <si>
    <t>AGM-88 High-speed Anti-Radiation Missiles may only be employed against radars, and of course will do no damage against non-radar targets. However, I have not implemented a "radar" attribute for targets and so WA does not give any warning about this, and will analyze the AGM-88 as if it is capable against any ground target.  I may fix this in the future, although it seems kind of an obvious point.  In the meantime, take care to shoot HARMs at suitable things.</t>
  </si>
  <si>
    <t>If cumulative lethality of your weapon mix is less than the hits required to destroy the target, WA will inform you that the ordnance is "insufficient" to destroy the target.  If the cumulative lethality is less than 1.0 over the required number of hits, WA will inform you that the mix is "minimally sufficient" to destroy the target.  Beyond that, WA will tell you that your selected warload is "sufficient" to kill the target.  The threshold for "minimal sufficiency" (less than one hit to spare) is one that I chose arbitrarily; you'll have to experiment to see what makes sense over a large number of sorties.</t>
  </si>
  <si>
    <t>TARGET ANALYSIS</t>
  </si>
  <si>
    <t>WEAPON MIX</t>
  </si>
  <si>
    <r>
      <t xml:space="preserve">The green Individual Weapon Analysis card in the middle of the worksheet is where </t>
    </r>
    <r>
      <rPr>
        <i/>
        <sz val="14"/>
        <color theme="1"/>
        <rFont val="Calibri"/>
        <scheme val="minor"/>
      </rPr>
      <t>WA</t>
    </r>
    <r>
      <rPr>
        <sz val="14"/>
        <color theme="1"/>
        <rFont val="Calibri"/>
        <scheme val="minor"/>
      </rPr>
      <t xml:space="preserve"> evaluates a particular weapon as applied to the target you identified on the pink card above.  Enter the appropriate information in the white boxes.  It doesn't really matter what you put under "weapon type", but make sure that you enter the "attack numbers" correctly from the weapon counter.  To elaborate:  if the weapon counter reads "4/8" (i.e., you must roll a 4 or higher for 1 hit, and an 8 or higher for 2 hits), put "4" in the 1-hit column and "8" in the 2-hit column.  Some weapons have up to 4 attack numbers; if your weapon has fewer, then insert a single hyphen ("-") in the unused attack number columns.  Again, syntax matters; please don't put anything other than a number or a single hyphen into these columns or </t>
    </r>
    <r>
      <rPr>
        <i/>
        <sz val="14"/>
        <color theme="1"/>
        <rFont val="Calibri"/>
        <scheme val="minor"/>
      </rPr>
      <t>WA</t>
    </r>
    <r>
      <rPr>
        <sz val="14"/>
        <color theme="1"/>
        <rFont val="Calibri"/>
        <scheme val="minor"/>
      </rPr>
      <t xml:space="preserve"> may fall over and catch fire.</t>
    </r>
  </si>
  <si>
    <t>Next, enter any special characteristics of your selected weapon.  If it has a bonus against Soft or Vehicular targets (indicated on the counter as an "S+?" or a "V+?", respectively), enter the value of the bonus in the appropriate white box.  If it is immune to the Dispersed penalty (indicated on the counter as a "D"), enter a capital "Y" next to the "Immune against dispersed" box; otherwise, enter a capital "N".  Finally, enter the weight of the weapon.  All of this information appears on the weapon counter, but for your convenience, the relevant data is reproduced on the yellow weapons characteristics table to the top right.</t>
  </si>
  <si>
    <r>
      <t xml:space="preserve">Based on the data you entered, </t>
    </r>
    <r>
      <rPr>
        <i/>
        <sz val="14"/>
        <color theme="1"/>
        <rFont val="Calibri"/>
        <scheme val="minor"/>
      </rPr>
      <t>WA</t>
    </r>
    <r>
      <rPr>
        <sz val="14"/>
        <color theme="1"/>
        <rFont val="Calibri"/>
        <scheme val="minor"/>
      </rPr>
      <t xml:space="preserve"> will calculate the applicable hit probabilities in the orange Weapon Effect Profile table.  Each row of the table displays the probability that the weapon will miss, produce 1 hit, produce 2 hits, produce 3 hits, and produce 4 hits against a given class of target.  </t>
    </r>
    <r>
      <rPr>
        <i/>
        <sz val="14"/>
        <color theme="1"/>
        <rFont val="Calibri"/>
        <scheme val="minor"/>
      </rPr>
      <t>WA</t>
    </r>
    <r>
      <rPr>
        <sz val="14"/>
        <color theme="1"/>
        <rFont val="Calibri"/>
        <scheme val="minor"/>
      </rPr>
      <t xml:space="preserve"> will also display a red "This target" pointer on the right side of the Weapon Effect Profile table indicating the applicable row for your selected target class.</t>
    </r>
  </si>
  <si>
    <r>
      <t xml:space="preserve">For each weapon/target combination, </t>
    </r>
    <r>
      <rPr>
        <i/>
        <sz val="14"/>
        <color theme="1"/>
        <rFont val="Calibri"/>
        <scheme val="minor"/>
      </rPr>
      <t>WA</t>
    </r>
    <r>
      <rPr>
        <sz val="14"/>
        <color theme="1"/>
        <rFont val="Calibri"/>
        <scheme val="minor"/>
      </rPr>
      <t xml:space="preserve"> calculates a "base lethality" value, which represents the number of hits that we can statistically expect one weapon of this type to produce against this particular target (third column from the right).  Based on this figure, </t>
    </r>
    <r>
      <rPr>
        <i/>
        <sz val="14"/>
        <color theme="1"/>
        <rFont val="Calibri"/>
        <scheme val="minor"/>
      </rPr>
      <t>WA</t>
    </r>
    <r>
      <rPr>
        <sz val="14"/>
        <color theme="1"/>
        <rFont val="Calibri"/>
        <scheme val="minor"/>
      </rPr>
      <t xml:space="preserve"> will calculate the minimum number of weapons required to produce the necessary number of hits and destroy the target (far right column).  If no quantity of the weapon will destroy the target (e.g., Rockets against a Hardened target), </t>
    </r>
    <r>
      <rPr>
        <i/>
        <sz val="14"/>
        <color theme="1"/>
        <rFont val="Calibri"/>
        <scheme val="minor"/>
      </rPr>
      <t>WA</t>
    </r>
    <r>
      <rPr>
        <sz val="14"/>
        <color theme="1"/>
        <rFont val="Calibri"/>
        <scheme val="minor"/>
      </rPr>
      <t xml:space="preserve"> will display "CANNOT" in the minimum weapons column.</t>
    </r>
  </si>
  <si>
    <r>
      <rPr>
        <i/>
        <sz val="14"/>
        <color theme="1"/>
        <rFont val="Calibri"/>
        <scheme val="minor"/>
      </rPr>
      <t>WA</t>
    </r>
    <r>
      <rPr>
        <sz val="14"/>
        <color theme="1"/>
        <rFont val="Calibri"/>
        <scheme val="minor"/>
      </rPr>
      <t xml:space="preserve"> also calculates a "Lethality per Weight Point" value (second column from the right), which is a measure of how effective this weapon is at producing hits-per-weight-point.  By itself this is not a very interesting number, but it is useful for comparing the relative efficiency of different weapons against the same target.  With the limited aircraft payload available, comparing this figure helps you decide whether the heavier weapons (such as the bulky bombs in the 2,000-lb class) are worth their massive weight.  </t>
    </r>
  </si>
  <si>
    <t>To the right of the orange Weapon Effect Profile table is the Die Roll Table, which shows the outcome of each possible die roll (1-10) after applying all of the necessary modifiers.  If you want to check the math, the modified rolls, base hits produced, modified hits, and dispersal immunity calculations appear in light gray to the right of the Die Roll Table.</t>
  </si>
  <si>
    <r>
      <t xml:space="preserve">Finally, </t>
    </r>
    <r>
      <rPr>
        <i/>
        <sz val="14"/>
        <color theme="1"/>
        <rFont val="Calibri"/>
        <scheme val="minor"/>
      </rPr>
      <t>WA</t>
    </r>
    <r>
      <rPr>
        <sz val="14"/>
        <color theme="1"/>
        <rFont val="Calibri"/>
        <scheme val="minor"/>
      </rPr>
      <t xml:space="preserve"> will display a red advisory flag if you attempt to strike a non-Fixed target in a year earlier than 2008 (in which case JDAMs will not be available against that target).  </t>
    </r>
    <r>
      <rPr>
        <i/>
        <sz val="14"/>
        <color theme="1"/>
        <rFont val="Calibri"/>
        <scheme val="minor"/>
      </rPr>
      <t>WA</t>
    </r>
    <r>
      <rPr>
        <sz val="14"/>
        <color theme="1"/>
        <rFont val="Calibri"/>
        <scheme val="minor"/>
      </rPr>
      <t xml:space="preserve"> will also display a red advisory flag if you attempt to strike a Dispersed target with a weapon that is not immune to the Dispersion penalty.  These are only informational, and WA will proceed to calculate the probabilities and die rolls as appropriate (i.e., </t>
    </r>
    <r>
      <rPr>
        <i/>
        <sz val="14"/>
        <color theme="1"/>
        <rFont val="Calibri"/>
        <scheme val="minor"/>
      </rPr>
      <t>WA</t>
    </r>
    <r>
      <rPr>
        <sz val="14"/>
        <color theme="1"/>
        <rFont val="Calibri"/>
        <scheme val="minor"/>
      </rPr>
      <t xml:space="preserve"> does not attempt to enforce the pre-2008 JDAM prohibition by indicating that they "CANNOT" destroy the target).</t>
    </r>
  </si>
  <si>
    <r>
      <t xml:space="preserve">While </t>
    </r>
    <r>
      <rPr>
        <i/>
        <sz val="14"/>
        <color theme="1"/>
        <rFont val="Calibri"/>
        <scheme val="minor"/>
      </rPr>
      <t>WA</t>
    </r>
    <r>
      <rPr>
        <sz val="14"/>
        <color theme="1"/>
        <rFont val="Calibri"/>
        <scheme val="minor"/>
      </rPr>
      <t xml:space="preserve"> analyzes only one type of weapon at a time on the green Individual Weapon Analysis card, there will likely be times when you want to strike a single target with several different types of ordnance.  </t>
    </r>
    <r>
      <rPr>
        <i/>
        <sz val="14"/>
        <color theme="1"/>
        <rFont val="Calibri"/>
        <scheme val="minor"/>
      </rPr>
      <t>WA</t>
    </r>
    <r>
      <rPr>
        <sz val="14"/>
        <color theme="1"/>
        <rFont val="Calibri"/>
        <scheme val="minor"/>
      </rPr>
      <t xml:space="preserve"> allows you to see the effect of multiple types of weapons against your target on the blue Weapon Mix card at the bottom.  Simply enter the name of your weapon type, the base lethality for the weapon type (copied from the appropriate row of the Weapon Effect Profile table), the quantity of weapons you wish to include, and the unit weight of each weapon.  WA will display the cumulative lethality value of all weapons you include on the blue card.  It will also calculate the total number of weight points you will need to make available on the hardpoints of your aircraft in order to haul this warload.</t>
    </r>
  </si>
  <si>
    <t>© 2012 Robin J. Lee &lt;amraamix@gmail.com&gt;</t>
  </si>
  <si>
    <r>
      <t xml:space="preserve">The pink Target Analysis card at the top of the worksheet is where you enter the pertinent target information in the white boxes.  This includes (a) name of the target (it doesn't really matter what you put here; I like to append "of Dastardly Evil" to the titles on the Target Cards); (b) the year of your campaign; (c) the number of hits necessary to kill the target (from the Target Card in the game); and (d) whether any of the "Dispersed", "Fixed", "Hardened", "Small", "Soft", or "Vehicle" attributes are applicable (also from the Target Card).  For each of these attributes, use a capital "Y" to indicate that the attribute is present and a capital "N" to indicate that it is not (other characters are not recognized and will probably cause </t>
    </r>
    <r>
      <rPr>
        <i/>
        <sz val="14"/>
        <color theme="1"/>
        <rFont val="Calibri"/>
        <scheme val="minor"/>
      </rPr>
      <t>WA</t>
    </r>
    <r>
      <rPr>
        <sz val="14"/>
        <color theme="1"/>
        <rFont val="Calibri"/>
        <scheme val="minor"/>
      </rPr>
      <t xml:space="preserve"> to throw up something unpleasant).  As you check the relevant attributes, die roll modifiers and hit modifiers will appear to the right, with "net" modifiers for both appearing at the bottom of the pink card.  This is for your information only; there is nothing you need to do with the modifiers as WA will calculate them automatically.</t>
    </r>
  </si>
  <si>
    <t>The Weapon Effect Profile table for the GBU-31 calculates incorrectly against certain targets (such as dispersed targets), due to the unusual attack number for this weapon (0/2/5/9).  The table is not really designed to accept attack number values beyond 1-10 (although the 11 rating for Rockeye seems to work okay).  I haven't figured out how to fix this yet, but in the meantime, the Die Roll Table should show accurate results.  But you probably shouldn't be using GBU-31s against Dispersed targets anyway, given that the dispersal penalty will effectively defang this weapon.</t>
  </si>
  <si>
    <r>
      <t xml:space="preserve">Obvious but important note:  all of the outcomes calculated by WA are statistical expectations, not guarantees.  There may be significant variation in your die rolls on any given mission (and </t>
    </r>
    <r>
      <rPr>
        <i/>
        <sz val="14"/>
        <color theme="1"/>
        <rFont val="Calibri"/>
        <scheme val="minor"/>
      </rPr>
      <t>WA</t>
    </r>
    <r>
      <rPr>
        <sz val="14"/>
        <color theme="1"/>
        <rFont val="Calibri"/>
        <scheme val="minor"/>
      </rPr>
      <t xml:space="preserve"> of course does not take into account the failure of its parent aircraft to get to the target or the abilities of individual pilots).  The appropriate amount of overkill to offset these risks is up to you.</t>
    </r>
  </si>
  <si>
    <t>Base Lethality per weapon</t>
  </si>
  <si>
    <t>Required Qty</t>
  </si>
  <si>
    <t>Quantity loaded</t>
  </si>
  <si>
    <t>TARGET</t>
  </si>
  <si>
    <t>Hits to kill</t>
  </si>
  <si>
    <t>Target:</t>
  </si>
  <si>
    <t>Total loaded lethality</t>
  </si>
  <si>
    <t>WP penalty</t>
  </si>
  <si>
    <t>AIRCRAFT 1</t>
  </si>
  <si>
    <t>Callsign</t>
  </si>
  <si>
    <t>Empty WP</t>
  </si>
  <si>
    <t>Remaining WP</t>
  </si>
  <si>
    <t>Current AtG rating</t>
  </si>
  <si>
    <t>A-6E</t>
  </si>
  <si>
    <t>Pilot OK/Shaken</t>
  </si>
  <si>
    <t>OK</t>
  </si>
  <si>
    <t>AtG modifier</t>
  </si>
  <si>
    <t>Total base lethality</t>
  </si>
  <si>
    <t>A/G Ordnance Type</t>
  </si>
  <si>
    <t>A/A Weapons and Other Stores</t>
  </si>
  <si>
    <t>AIM-7 Sparrow</t>
  </si>
  <si>
    <t>AIM-9 Sidewinder</t>
  </si>
  <si>
    <t>AIM-120 AMRAAM</t>
  </si>
  <si>
    <t>ECM pod</t>
  </si>
  <si>
    <t>AIM-54 Phoenix (F-14A/B/D only)</t>
  </si>
  <si>
    <t>Total A/G weight</t>
  </si>
  <si>
    <t>Current AtA rating</t>
  </si>
  <si>
    <t>Loaded dogfight penalty</t>
  </si>
  <si>
    <t>Net AtA modifier</t>
  </si>
  <si>
    <t>AtA rating</t>
  </si>
  <si>
    <t>Total base AtA kill equiv</t>
  </si>
  <si>
    <t>Net AtA kill equiv</t>
  </si>
  <si>
    <t>AIRCRAFT 2</t>
  </si>
  <si>
    <t>AIRCRAFT 3</t>
  </si>
  <si>
    <t>AIRCRAFT 4</t>
  </si>
  <si>
    <t>AIRCRAFT 5</t>
  </si>
  <si>
    <t>AIRCRAFT 6</t>
  </si>
  <si>
    <t>AIRCRAFT 7</t>
  </si>
  <si>
    <t>AIRCRAFT 8</t>
  </si>
  <si>
    <t>Mission</t>
  </si>
  <si>
    <t>Net adjusted lethality</t>
  </si>
  <si>
    <t>Total weight points required:</t>
  </si>
  <si>
    <t>Total weight points remaining:</t>
  </si>
  <si>
    <t>AIR-TO-AIR MISSILE LOADOUT</t>
  </si>
  <si>
    <t>Total net AtA kill equivalent:</t>
  </si>
  <si>
    <t>F-14A</t>
  </si>
  <si>
    <t>% of A/G firepower</t>
  </si>
  <si>
    <t>% of A/A firepower</t>
  </si>
  <si>
    <t>Lethality</t>
  </si>
  <si>
    <t>AtA kill equiv</t>
  </si>
  <si>
    <t>STRIKE PACKAGE</t>
  </si>
  <si>
    <t>Package AtG lethality:</t>
  </si>
  <si>
    <t>Package AtA kill equiv:</t>
  </si>
  <si>
    <t>Required hits:</t>
  </si>
  <si>
    <t>Notes</t>
  </si>
  <si>
    <t>Su-27</t>
  </si>
  <si>
    <t>MiG-29</t>
  </si>
  <si>
    <t>MiG-25</t>
  </si>
  <si>
    <t>MiG-23</t>
  </si>
  <si>
    <t>Mirage III</t>
  </si>
  <si>
    <t>MiG-21</t>
  </si>
  <si>
    <t>No bandit</t>
  </si>
  <si>
    <t>Total</t>
  </si>
  <si>
    <t>Theater Bandit Rates</t>
  </si>
  <si>
    <t>All Other Theaters</t>
  </si>
  <si>
    <t>Libya '84</t>
  </si>
  <si>
    <t>North Atlantic '86</t>
  </si>
  <si>
    <t>North Korea '11</t>
  </si>
  <si>
    <t>Iraq '91</t>
  </si>
  <si>
    <t>4th gen</t>
  </si>
  <si>
    <t>3rd gen</t>
  </si>
  <si>
    <t>2nd gen</t>
  </si>
  <si>
    <t>THEATER FIGHTER MIX</t>
  </si>
  <si>
    <t>Applicable Theater Bandit Rate</t>
  </si>
  <si>
    <t>No. of Bandits on Target Card</t>
  </si>
  <si>
    <t>App</t>
  </si>
  <si>
    <t>Ctr</t>
  </si>
  <si>
    <t>ANTICIPATED ENEMY FIGHTER ACTIVITY</t>
  </si>
  <si>
    <t>Anticipated No. of Enemy Fighters:</t>
  </si>
  <si>
    <t>Anticipated # of enemy fighters:</t>
  </si>
  <si>
    <t>Note:  Air-to-air missiles are rated with an "AtA kill equivalent" value on the</t>
  </si>
  <si>
    <t>loadout page, which represents roughly how many enemy fighters would be</t>
  </si>
  <si>
    <t>expected to be destroyed with one missile round.  This value is baselined</t>
  </si>
  <si>
    <t>against a fourth-generation enemy fighter (MiG-29 or Su-27); one would</t>
  </si>
  <si>
    <t>generation fighters.  Nonetheless, the more conservative value is retained</t>
  </si>
  <si>
    <t>for planning purposes.</t>
  </si>
  <si>
    <t>Qty  to be loaded</t>
  </si>
  <si>
    <t>Anticipated enemy fighters:</t>
  </si>
  <si>
    <t>AGM-88 HARM</t>
  </si>
  <si>
    <t>expect those missiles to perform 10%-20% better against second- and third-</t>
  </si>
  <si>
    <t>of a possible:</t>
  </si>
  <si>
    <t>(excluding random events)</t>
  </si>
  <si>
    <t>Base Lethality per weapon*</t>
  </si>
  <si>
    <t>* fill in "0.0" for add'l weapons not intended for primary target (e.g. HARMs and bombs for site defenses)</t>
  </si>
  <si>
    <t>AtA Kill Equiv **</t>
  </si>
  <si>
    <t xml:space="preserve">AtA Kill Equiv** </t>
  </si>
  <si>
    <t>**against 4th-gen fighter (MiG-29, Su-27)</t>
  </si>
  <si>
    <t>Weaponeering Page, Step 1:  Enter target information.</t>
  </si>
  <si>
    <r>
      <t xml:space="preserve">Weaponeering Assistant (WA) helps you design suitable loadouts for your strike missions in </t>
    </r>
    <r>
      <rPr>
        <i/>
        <sz val="14"/>
        <color theme="1"/>
        <rFont val="Calibri"/>
        <scheme val="minor"/>
      </rPr>
      <t>Hornet Leader: Carrier Air Operations</t>
    </r>
    <r>
      <rPr>
        <sz val="14"/>
        <color theme="1"/>
        <rFont val="Calibri"/>
        <scheme val="minor"/>
      </rPr>
      <t xml:space="preserve">.  When you enter the characteristics of your target and desired ordnance, </t>
    </r>
    <r>
      <rPr>
        <i/>
        <sz val="14"/>
        <color theme="1"/>
        <rFont val="Calibri"/>
        <scheme val="minor"/>
      </rPr>
      <t>WA</t>
    </r>
    <r>
      <rPr>
        <sz val="14"/>
        <color theme="1"/>
        <rFont val="Calibri"/>
        <scheme val="minor"/>
      </rPr>
      <t xml:space="preserve"> will tell you how many weapons are statistically required to destroy the target (or whether the weapon is capable of destroying the target at all), the probabilities of each hit multiple, the "bang per pound" for your selected weapon against this particular target, and the weight points necessary to load those weapons on your aircraft.  It also automatically calculates the hit/miss effects for each possible die roll outcome, taking into account all of the necessary modifiers.  Version 0.95 adds an enemy fighter activity page, which helps you estimate how many hostile fighters are likely to make an appearance during the mission (making it easier to determine how many air-to-air missiles are required), a loadout page, which helps to distribute the appropriate weapons to the aircraft in your flight and applies pilot skill modifiers to all of your weapons, and a flight page, which gives you a summary of your armed aircraft.</t>
    </r>
  </si>
  <si>
    <t>Weaponeering Page, Step 2:  Enter weapon information.</t>
  </si>
  <si>
    <t>Weaponeering Page, Step 3:  Review individual weapon analysis.</t>
  </si>
  <si>
    <t>Weaponeering Page, Step 4:  Construct a weapon mix.</t>
  </si>
  <si>
    <t>Enemy Air Page</t>
  </si>
  <si>
    <t>Loadout Page</t>
  </si>
  <si>
    <r>
      <t xml:space="preserve">The Enemy Air page is used to estimate the number of hostile fighters that are likely to be encountered on your mission.  The top of the page gives a statistical distribution of the various fighter types in each of the combat theaters, along with the overall likelihood that a specific bandit counter draw will result in an actual aircraft (as opposed to a "NO BANDIT" result).  This is called the "Theater Bandit Rate."  In the blue card below, enter the Theater Bandit Rate for your particular scenario.  Then, find the number of bandits on the Target Card, and enter the numbers given for bandits in each approach ("App") and bandits over the center of the target ("Ctr").  </t>
    </r>
    <r>
      <rPr>
        <i/>
        <sz val="14"/>
        <color theme="1"/>
        <rFont val="Calibri"/>
        <scheme val="minor"/>
      </rPr>
      <t>WA</t>
    </r>
    <r>
      <rPr>
        <sz val="14"/>
        <color theme="1"/>
        <rFont val="Calibri"/>
        <scheme val="minor"/>
      </rPr>
      <t xml:space="preserve"> will give you a rough estimate of the number of fighters likely to appear on this mission.  Note that this does not include any additional bandits that may be placed as a result of a random event triggered by an Event Card (up to 2 additional bandits may be placed as a result).</t>
    </r>
  </si>
  <si>
    <t>The Loadout Page is used to distribute weapons and stores among your various aircraft.  At the top right, you will see a "Primary Air-to-Ground Package" card, which is automatically populated with the information from your Weapon Mix card on the Weaponeering page.  This allows you to reference the types, lethality values, weights, and quantities of the applicable weapons while you load your aircraft.  To the top left, the "Target"  card has been automatically populated with the name of your target, the total number of hits to kill, and the expected enemy fighter activity.  It also has indicators for the total lethality potential of the weapons that you have already loaded on to your aircraft, which should be zero when you begin.</t>
  </si>
  <si>
    <t>Note:  You may decide to load weapons that are not intended for use against the primary mission target.  For example, you may take along some HARMs and cluster bombs for use against air defense sites that you encounter.  If you do this, I recommend that you fill in a "0" under the lethality value column, so that these weapons will not be counted against the cumulative lethality value used to determine whether you have brought enough explosive to kill the target.  If you'd like to see what the lethality value is anyway, you can use the Weaponeering page; in general, assume that an air defense site is an ordinary target.</t>
  </si>
  <si>
    <t>It is generally a good idea to make sure that when you're done, the Target Card shows a Net Adjusted Lethality that equals or exceeds the "Hits to Kill" figure, and a total net AtA kill equivalent that equals or exceeds the anticipated number of enemy fighters.</t>
  </si>
  <si>
    <t>Flight Page</t>
  </si>
  <si>
    <t>The Flight Page is non-interactive and auto-populates based on the results of your Loadout Page.  It gives a high-level, short-form look at your flight, including the percentage of AtG and AtA firepower allocated to each jet.  This allows you to see if you have any unnecessary concentration of firepower in certain aircraft (creating a risk that the loss of one aircraft will disproportionately reduce the overall firepower of the flight).</t>
  </si>
  <si>
    <r>
      <t xml:space="preserve">To use the Loadout Page, first find the weight point penalty resulting from your target's distance from the airfield, as indicated on the Scenario Sheet, and enter it into the white box on the Target card.  Then, fill out the Aircraft cards for each of your aircraft, including callsign, aircraft type, empty weight, a general description of this jet's mission (e.g., "Strike" or "Escort"), the status of the pilot, and the pilot's current AtA and AtG ratings.  Then, in the "A/G Ordnance" column, begin allocating the weapons listed in the "Primary Air-to-Ground Package" card, copying down the type, lethality value, weight, and quantity in the appropriate places.  As you load a particular quantity of weapons on the Aircraft card, you can enter the corresponding increase in quantity in the "Quantity Loaded" column of the Primary Air-to-Ground Package card.  This will help you keep track of how many additional weapons of a given type still need to be loaded.  As you do this, </t>
    </r>
    <r>
      <rPr>
        <i/>
        <sz val="14"/>
        <color theme="1"/>
        <rFont val="Calibri"/>
        <scheme val="minor"/>
      </rPr>
      <t>WA</t>
    </r>
    <r>
      <rPr>
        <sz val="14"/>
        <color theme="1"/>
        <rFont val="Calibri"/>
        <scheme val="minor"/>
      </rPr>
      <t xml:space="preserve"> will update your cumulative lethality values to reflect the total number of weapons loaded, </t>
    </r>
    <r>
      <rPr>
        <i/>
        <sz val="14"/>
        <color theme="1"/>
        <rFont val="Calibri"/>
        <scheme val="minor"/>
      </rPr>
      <t>as modified by the AtG ratings for your assigned pilot</t>
    </r>
    <r>
      <rPr>
        <sz val="14"/>
        <color theme="1"/>
        <rFont val="Calibri"/>
        <scheme val="minor"/>
      </rPr>
      <t>.  This figure will be different from the lethality values given on the Weaponeering Page (which assume an average pilot with an AtG rating of +0).</t>
    </r>
  </si>
  <si>
    <r>
      <t xml:space="preserve">Beneath the "A/G Ordnance" column is a separate list of stores consisting of various air-to-air missiles and an ECM pod.  If you wish to load any of these weapons on to your aircraft, you may do so by entering the desired quantity of each item.  Note that there is no need to update a "Quantity Loaded" entry for these items, since they do not appear on the Primary Air-to-Ground Package card.  However, </t>
    </r>
    <r>
      <rPr>
        <i/>
        <sz val="14"/>
        <color theme="1"/>
        <rFont val="Calibri"/>
        <scheme val="minor"/>
      </rPr>
      <t>WA</t>
    </r>
    <r>
      <rPr>
        <sz val="14"/>
        <color theme="1"/>
        <rFont val="Calibri"/>
        <scheme val="minor"/>
      </rPr>
      <t xml:space="preserve"> will give you an "AtA Kill Equivalent" figure for your missiles, which is roughly analogous to the lethality values for your air-to-ground ordnance.  Put simply, the AtA Kill Equivalent value represents the (fractional) number of enemy fighters that you can expect to be killed with one missile round.  (As a planning assumption, the baseline for this calculation is a fourth-generation fighter -- that is, an Su-27 or a MiG-29.  The missiles have greater effectiveness against less advanced fighters, such as the MiG-23 or the MiG-21.)  In the end, for each aircraft, </t>
    </r>
    <r>
      <rPr>
        <i/>
        <sz val="14"/>
        <color theme="1"/>
        <rFont val="Calibri"/>
        <scheme val="minor"/>
      </rPr>
      <t>WA</t>
    </r>
    <r>
      <rPr>
        <sz val="14"/>
        <color theme="1"/>
        <rFont val="Calibri"/>
        <scheme val="minor"/>
      </rPr>
      <t xml:space="preserve"> will give you a "Net AtA Kill Equivalent" value, which shows the total fighter kill potential of your missile load after applying pilot skill modifiers and any dogfight penalties that may apply to heavily-loaded jets.</t>
    </r>
  </si>
  <si>
    <r>
      <t xml:space="preserve">This is still a very early version that is still in testing.  In addition, this represents my first self-taught attempt at using Boolean logic in Excel, and much of the math behind this was done on Monday morning between 2am and 3am.  Also the sun was in my eyes the whole time.  I HEREBY DISCLAIM ALL WARRANTIES, WHETHER EXPRESS, IMPLIED, OR STATUTORY, INCLUDING ANY WARRANTIES OF MERCHANTABILITY, FITNESS FOR A PARTICULAR PURPOSE, TITLE, OR NONINFRINGEMENT.  In no event shall I be liable for any indirect, special, consequential, or incidental damages, whether in contract or tort or otherwise, regardless of whether I knew or should have known of the possibility of such damages.  So if you start losing $55 million jets because </t>
    </r>
    <r>
      <rPr>
        <i/>
        <sz val="14"/>
        <color theme="1"/>
        <rFont val="Calibri"/>
        <scheme val="minor"/>
      </rPr>
      <t>WA</t>
    </r>
    <r>
      <rPr>
        <sz val="14"/>
        <color theme="1"/>
        <rFont val="Calibri"/>
        <scheme val="minor"/>
      </rPr>
      <t xml:space="preserve"> malfunctioned, don't blame me.</t>
    </r>
  </si>
  <si>
    <t>Extra</t>
  </si>
  <si>
    <t>PGM Strike</t>
  </si>
  <si>
    <t>Pluto</t>
  </si>
  <si>
    <t>A-7E</t>
  </si>
  <si>
    <t>Iron strike</t>
  </si>
  <si>
    <t>Tuna</t>
  </si>
  <si>
    <t>Shifty</t>
  </si>
  <si>
    <t>Shaken</t>
  </si>
  <si>
    <t>Teflon</t>
  </si>
  <si>
    <t>CAP/Escort</t>
  </si>
  <si>
    <t>Waldo</t>
  </si>
  <si>
    <t>CAP/escort</t>
  </si>
  <si>
    <t>HARM-shooter</t>
  </si>
  <si>
    <t>PRIMARY AIR-TO-GROUND PACKAGE (FROM WEAPON MIX CARD)</t>
  </si>
  <si>
    <t>Disguised Baby Milk Factory</t>
  </si>
  <si>
    <t>Version 0.96, 15 Aug 2012</t>
  </si>
  <si>
    <t>Release Notes</t>
  </si>
  <si>
    <t>Version 0.96:  Corrected bug in Weapon Effect Profile formula for small, vehicular, dispersed targets.</t>
  </si>
  <si>
    <t>Version 0.95:  Introduced Enemy Air, Loadout, and Flight pages.</t>
  </si>
  <si>
    <t>Version 0.9:  Initial release.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</si>
</sst>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1" x14ac:knownFonts="1">
    <font>
      <sz val="12"/>
      <color theme="1"/>
      <name val="Calibri"/>
      <family val="2"/>
      <scheme val="minor"/>
    </font>
    <font>
      <sz val="12"/>
      <color theme="1"/>
      <name val="Calibri"/>
      <family val="2"/>
      <scheme val="minor"/>
    </font>
    <font>
      <sz val="12"/>
      <color theme="1"/>
      <name val="Calibri"/>
      <family val="2"/>
      <scheme val="minor"/>
    </font>
    <font>
      <sz val="12"/>
      <color rgb="FF3F3F76"/>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b/>
      <sz val="12"/>
      <color rgb="FF3F3F3F"/>
      <name val="Calibri"/>
      <family val="2"/>
      <scheme val="minor"/>
    </font>
    <font>
      <b/>
      <sz val="12"/>
      <color rgb="FFFF0000"/>
      <name val="Calibri"/>
      <scheme val="minor"/>
    </font>
    <font>
      <sz val="12"/>
      <name val="Calibri"/>
      <scheme val="minor"/>
    </font>
    <font>
      <i/>
      <sz val="12"/>
      <color theme="1"/>
      <name val="Calibri"/>
      <scheme val="minor"/>
    </font>
    <font>
      <sz val="12"/>
      <color rgb="FFFF0000"/>
      <name val="Calibri"/>
      <family val="2"/>
      <scheme val="minor"/>
    </font>
    <font>
      <sz val="12"/>
      <color theme="0"/>
      <name val="Calibri"/>
      <family val="2"/>
      <scheme val="minor"/>
    </font>
    <font>
      <sz val="12"/>
      <color theme="0" tint="-0.249977111117893"/>
      <name val="Calibri"/>
      <scheme val="minor"/>
    </font>
    <font>
      <sz val="18"/>
      <color theme="1"/>
      <name val="Calibri"/>
      <scheme val="minor"/>
    </font>
    <font>
      <i/>
      <sz val="18"/>
      <color theme="1"/>
      <name val="Calibri"/>
      <scheme val="minor"/>
    </font>
    <font>
      <b/>
      <sz val="24"/>
      <color rgb="FF3366FF"/>
      <name val="Calibri"/>
      <scheme val="minor"/>
    </font>
    <font>
      <b/>
      <sz val="24"/>
      <color theme="0"/>
      <name val="Calibri"/>
      <scheme val="minor"/>
    </font>
    <font>
      <sz val="14"/>
      <color theme="1"/>
      <name val="Calibri"/>
      <scheme val="minor"/>
    </font>
    <font>
      <i/>
      <sz val="14"/>
      <color theme="1"/>
      <name val="Calibri"/>
      <scheme val="minor"/>
    </font>
    <font>
      <b/>
      <sz val="14"/>
      <color theme="0"/>
      <name val="Calibri"/>
      <scheme val="minor"/>
    </font>
    <font>
      <sz val="9"/>
      <color theme="0" tint="-0.249977111117893"/>
      <name val="Calibri"/>
      <scheme val="minor"/>
    </font>
    <font>
      <b/>
      <sz val="12"/>
      <color theme="0"/>
      <name val="Calibri"/>
      <family val="2"/>
      <scheme val="minor"/>
    </font>
    <font>
      <b/>
      <sz val="18"/>
      <color theme="1"/>
      <name val="Calibri"/>
      <scheme val="minor"/>
    </font>
    <font>
      <b/>
      <sz val="12"/>
      <name val="Calibri"/>
      <scheme val="minor"/>
    </font>
    <font>
      <b/>
      <sz val="18"/>
      <color theme="0"/>
      <name val="Calibri"/>
      <scheme val="minor"/>
    </font>
    <font>
      <i/>
      <sz val="12"/>
      <color rgb="FF000000"/>
      <name val="Calibri"/>
      <scheme val="minor"/>
    </font>
    <font>
      <b/>
      <sz val="14"/>
      <color theme="1"/>
      <name val="Calibri"/>
      <scheme val="minor"/>
    </font>
    <font>
      <sz val="14"/>
      <color rgb="FFFF0000"/>
      <name val="Calibri"/>
      <scheme val="minor"/>
    </font>
    <font>
      <b/>
      <sz val="14"/>
      <color rgb="FFFF0000"/>
      <name val="Calibri"/>
      <scheme val="minor"/>
    </font>
    <font>
      <i/>
      <sz val="12"/>
      <name val="Calibri"/>
      <scheme val="minor"/>
    </font>
  </fonts>
  <fills count="23">
    <fill>
      <patternFill patternType="none"/>
    </fill>
    <fill>
      <patternFill patternType="gray125"/>
    </fill>
    <fill>
      <patternFill patternType="solid">
        <fgColor rgb="FFFFCC99"/>
      </patternFill>
    </fill>
    <fill>
      <patternFill patternType="solid">
        <fgColor rgb="FFF2F2F2"/>
      </patternFill>
    </fill>
    <fill>
      <patternFill patternType="solid">
        <fgColor rgb="FFFFFFCC"/>
      </patternFill>
    </fill>
    <fill>
      <patternFill patternType="solid">
        <fgColor theme="5" tint="0.79998168889431442"/>
        <bgColor indexed="65"/>
      </patternFill>
    </fill>
    <fill>
      <patternFill patternType="solid">
        <fgColor theme="6" tint="0.79998168889431442"/>
        <bgColor indexed="65"/>
      </patternFill>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3"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5"/>
        <bgColor indexed="64"/>
      </patternFill>
    </fill>
    <fill>
      <patternFill patternType="solid">
        <fgColor rgb="FF008000"/>
        <bgColor indexed="64"/>
      </patternFill>
    </fill>
    <fill>
      <patternFill patternType="solid">
        <fgColor theme="8" tint="0.79998168889431442"/>
        <bgColor indexed="64"/>
      </patternFill>
    </fill>
    <fill>
      <patternFill patternType="solid">
        <fgColor theme="4" tint="0.79998168889431442"/>
        <bgColor indexed="65"/>
      </patternFill>
    </fill>
    <fill>
      <patternFill patternType="solid">
        <fgColor theme="2" tint="-9.9978637043366805E-2"/>
        <bgColor indexed="64"/>
      </patternFill>
    </fill>
    <fill>
      <patternFill patternType="solid">
        <fgColor rgb="FFD9D9D9"/>
        <bgColor rgb="FF000000"/>
      </patternFill>
    </fill>
    <fill>
      <patternFill patternType="solid">
        <fgColor theme="0" tint="-0.14999847407452621"/>
        <bgColor rgb="FF000000"/>
      </patternFill>
    </fill>
  </fills>
  <borders count="16">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515">
    <xf numFmtId="0" fontId="0" fillId="0" borderId="0"/>
    <xf numFmtId="0" fontId="3" fillId="2" borderId="1" applyNumberFormat="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3" borderId="2" applyNumberFormat="0" applyAlignment="0" applyProtection="0"/>
    <xf numFmtId="0" fontId="2" fillId="4" borderId="3" applyNumberFormat="0" applyFont="0" applyAlignment="0" applyProtection="0"/>
    <xf numFmtId="0" fontId="2" fillId="5" borderId="0" applyNumberFormat="0" applyBorder="0" applyAlignment="0" applyProtection="0"/>
    <xf numFmtId="0" fontId="2" fillId="6" borderId="0" applyNumberFormat="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19" borderId="0" applyNumberFormat="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202">
    <xf numFmtId="0" fontId="0" fillId="0" borderId="0" xfId="0"/>
    <xf numFmtId="0" fontId="4" fillId="4" borderId="3" xfId="61" applyFont="1"/>
    <xf numFmtId="0" fontId="0" fillId="4" borderId="3" xfId="61" applyFont="1"/>
    <xf numFmtId="0" fontId="2" fillId="6" borderId="0" xfId="63"/>
    <xf numFmtId="0" fontId="2" fillId="6" borderId="0" xfId="63" applyAlignment="1">
      <alignment horizontal="right"/>
    </xf>
    <xf numFmtId="0" fontId="4" fillId="6" borderId="0" xfId="63" applyFont="1"/>
    <xf numFmtId="0" fontId="2" fillId="5" borderId="0" xfId="62"/>
    <xf numFmtId="0" fontId="2" fillId="5" borderId="0" xfId="62" applyAlignment="1">
      <alignment horizontal="right"/>
    </xf>
    <xf numFmtId="0" fontId="4" fillId="5" borderId="0" xfId="62" applyFont="1"/>
    <xf numFmtId="0" fontId="4" fillId="6" borderId="0" xfId="63" applyFont="1" applyAlignment="1">
      <alignment horizontal="right"/>
    </xf>
    <xf numFmtId="0" fontId="4" fillId="6" borderId="0" xfId="63" applyFont="1" applyAlignment="1">
      <alignment horizontal="right" wrapText="1"/>
    </xf>
    <xf numFmtId="0" fontId="8" fillId="6" borderId="0" xfId="63" applyFont="1"/>
    <xf numFmtId="0" fontId="4" fillId="9" borderId="0" xfId="0" applyFont="1" applyFill="1"/>
    <xf numFmtId="0" fontId="8" fillId="9" borderId="0" xfId="0" applyFont="1" applyFill="1"/>
    <xf numFmtId="0" fontId="0" fillId="9" borderId="0" xfId="0" applyFill="1"/>
    <xf numFmtId="0" fontId="9" fillId="9" borderId="0" xfId="0" applyFont="1" applyFill="1"/>
    <xf numFmtId="0" fontId="4" fillId="9" borderId="0" xfId="0" applyFont="1" applyFill="1" applyAlignment="1">
      <alignment horizontal="right"/>
    </xf>
    <xf numFmtId="0" fontId="4" fillId="9" borderId="0" xfId="0" applyFont="1" applyFill="1" applyAlignment="1">
      <alignment horizontal="right" wrapText="1"/>
    </xf>
    <xf numFmtId="49" fontId="4" fillId="9" borderId="0" xfId="0" applyNumberFormat="1" applyFont="1" applyFill="1" applyAlignment="1">
      <alignment horizontal="right" wrapText="1"/>
    </xf>
    <xf numFmtId="0" fontId="9" fillId="7" borderId="1" xfId="63" applyFont="1" applyFill="1" applyBorder="1"/>
    <xf numFmtId="0" fontId="9" fillId="7" borderId="1" xfId="1" applyFont="1" applyFill="1"/>
    <xf numFmtId="0" fontId="9" fillId="7" borderId="1" xfId="62" applyFont="1" applyFill="1" applyBorder="1"/>
    <xf numFmtId="9" fontId="2" fillId="10" borderId="2" xfId="63" applyNumberFormat="1" applyFill="1" applyBorder="1"/>
    <xf numFmtId="0" fontId="7" fillId="10" borderId="2" xfId="60" applyFill="1"/>
    <xf numFmtId="0" fontId="2" fillId="6" borderId="0" xfId="63" applyAlignment="1">
      <alignment horizontal="center"/>
    </xf>
    <xf numFmtId="0" fontId="9" fillId="7" borderId="1" xfId="63" applyFont="1" applyFill="1" applyBorder="1" applyAlignment="1">
      <alignment horizontal="center"/>
    </xf>
    <xf numFmtId="0" fontId="2" fillId="7" borderId="1" xfId="63" applyFont="1" applyFill="1" applyBorder="1" applyAlignment="1">
      <alignment horizontal="center"/>
    </xf>
    <xf numFmtId="0" fontId="2" fillId="7" borderId="1" xfId="62" applyFont="1" applyFill="1" applyBorder="1" applyAlignment="1">
      <alignment horizontal="center"/>
    </xf>
    <xf numFmtId="0" fontId="2" fillId="5" borderId="0" xfId="62" applyAlignment="1">
      <alignment horizontal="center"/>
    </xf>
    <xf numFmtId="0" fontId="4" fillId="5" borderId="0" xfId="62" applyFont="1" applyAlignment="1">
      <alignment horizontal="center"/>
    </xf>
    <xf numFmtId="0" fontId="0" fillId="11" borderId="0" xfId="0" applyFill="1"/>
    <xf numFmtId="0" fontId="0" fillId="8" borderId="0" xfId="0" applyFill="1"/>
    <xf numFmtId="0" fontId="10" fillId="6" borderId="0" xfId="63" applyFont="1"/>
    <xf numFmtId="0" fontId="0" fillId="7" borderId="1" xfId="62" applyFont="1" applyFill="1" applyBorder="1" applyAlignment="1">
      <alignment horizontal="center"/>
    </xf>
    <xf numFmtId="0" fontId="0" fillId="7" borderId="1" xfId="63" applyFont="1" applyFill="1" applyBorder="1" applyAlignment="1">
      <alignment horizontal="center"/>
    </xf>
    <xf numFmtId="0" fontId="0" fillId="8" borderId="0" xfId="0" applyFill="1" applyAlignment="1">
      <alignment horizontal="right" vertical="top" textRotation="90"/>
    </xf>
    <xf numFmtId="0" fontId="0" fillId="6" borderId="0" xfId="63" applyFont="1"/>
    <xf numFmtId="0" fontId="0" fillId="5" borderId="0" xfId="62" applyFont="1"/>
    <xf numFmtId="0" fontId="11" fillId="5" borderId="0" xfId="62" applyFont="1" applyAlignment="1">
      <alignment horizontal="center"/>
    </xf>
    <xf numFmtId="0" fontId="9" fillId="5" borderId="0" xfId="62" applyFont="1" applyAlignment="1">
      <alignment horizontal="right"/>
    </xf>
    <xf numFmtId="0" fontId="4" fillId="6" borderId="0" xfId="63" applyFont="1" applyAlignment="1">
      <alignment horizontal="center"/>
    </xf>
    <xf numFmtId="0" fontId="7" fillId="3" borderId="2" xfId="60" applyAlignment="1">
      <alignment horizontal="center"/>
    </xf>
    <xf numFmtId="0" fontId="13" fillId="6" borderId="0" xfId="63" applyFont="1" applyAlignment="1">
      <alignment horizontal="right"/>
    </xf>
    <xf numFmtId="0" fontId="10" fillId="5" borderId="0" xfId="62" applyFont="1" applyAlignment="1">
      <alignment horizontal="right"/>
    </xf>
    <xf numFmtId="0" fontId="10" fillId="12" borderId="0" xfId="0" applyFont="1" applyFill="1" applyAlignment="1">
      <alignment horizontal="center"/>
    </xf>
    <xf numFmtId="0" fontId="12" fillId="12" borderId="0" xfId="62" applyFont="1" applyFill="1" applyAlignment="1">
      <alignment horizontal="right"/>
    </xf>
    <xf numFmtId="0" fontId="4" fillId="4" borderId="3" xfId="61" applyFont="1" applyAlignment="1">
      <alignment horizontal="center"/>
    </xf>
    <xf numFmtId="0" fontId="0" fillId="4" borderId="3" xfId="61" applyFont="1" applyAlignment="1">
      <alignment horizontal="center"/>
    </xf>
    <xf numFmtId="14" fontId="0" fillId="4" borderId="3" xfId="61" applyNumberFormat="1" applyFont="1" applyAlignment="1">
      <alignment horizontal="center"/>
    </xf>
    <xf numFmtId="16" fontId="0" fillId="4" borderId="3" xfId="61" applyNumberFormat="1" applyFont="1" applyAlignment="1">
      <alignment horizontal="center"/>
    </xf>
    <xf numFmtId="0" fontId="9" fillId="5" borderId="0" xfId="62" applyFont="1" applyAlignment="1">
      <alignment horizontal="left"/>
    </xf>
    <xf numFmtId="0" fontId="14" fillId="0" borderId="0" xfId="0" applyNumberFormat="1" applyFont="1" applyAlignment="1">
      <alignment wrapText="1"/>
    </xf>
    <xf numFmtId="0" fontId="0" fillId="0" borderId="0" xfId="0" applyNumberFormat="1" applyAlignment="1">
      <alignment wrapText="1"/>
    </xf>
    <xf numFmtId="0" fontId="16" fillId="0" borderId="0" xfId="0" applyNumberFormat="1" applyFont="1" applyAlignment="1">
      <alignment wrapText="1"/>
    </xf>
    <xf numFmtId="0" fontId="0" fillId="13" borderId="0" xfId="0" applyFill="1"/>
    <xf numFmtId="0" fontId="17" fillId="13" borderId="0" xfId="0" applyFont="1" applyFill="1"/>
    <xf numFmtId="0" fontId="12" fillId="13" borderId="0" xfId="0" applyFont="1" applyFill="1"/>
    <xf numFmtId="0" fontId="18" fillId="0" borderId="0" xfId="0" applyNumberFormat="1" applyFont="1" applyAlignment="1">
      <alignment wrapText="1"/>
    </xf>
    <xf numFmtId="0" fontId="10" fillId="14" borderId="0" xfId="0" applyNumberFormat="1" applyFont="1" applyFill="1" applyAlignment="1">
      <alignment wrapText="1"/>
    </xf>
    <xf numFmtId="0" fontId="20" fillId="13" borderId="0" xfId="0" applyNumberFormat="1" applyFont="1" applyFill="1" applyAlignment="1">
      <alignment wrapText="1"/>
    </xf>
    <xf numFmtId="0" fontId="21" fillId="13" borderId="0" xfId="0" applyFont="1" applyFill="1"/>
    <xf numFmtId="0" fontId="0" fillId="7" borderId="0" xfId="0" applyFill="1"/>
    <xf numFmtId="0" fontId="0" fillId="7" borderId="4" xfId="0" applyFill="1" applyBorder="1"/>
    <xf numFmtId="0" fontId="0" fillId="9" borderId="0" xfId="0" applyFill="1" applyBorder="1"/>
    <xf numFmtId="0" fontId="4" fillId="9" borderId="0" xfId="0" applyFont="1" applyFill="1" applyBorder="1"/>
    <xf numFmtId="0" fontId="4" fillId="9" borderId="0" xfId="0" applyFont="1" applyFill="1" applyAlignment="1">
      <alignment horizontal="left" wrapText="1"/>
    </xf>
    <xf numFmtId="0" fontId="23" fillId="9" borderId="0" xfId="0" applyFont="1" applyFill="1"/>
    <xf numFmtId="0" fontId="23" fillId="11" borderId="0" xfId="0" applyFont="1" applyFill="1"/>
    <xf numFmtId="0" fontId="0" fillId="11" borderId="0" xfId="0" applyFill="1" applyAlignment="1">
      <alignment horizontal="left"/>
    </xf>
    <xf numFmtId="0" fontId="0" fillId="11" borderId="0" xfId="0" applyFill="1" applyAlignment="1">
      <alignment horizontal="right"/>
    </xf>
    <xf numFmtId="0" fontId="17" fillId="16" borderId="0" xfId="0" applyFont="1" applyFill="1" applyAlignment="1">
      <alignment horizontal="center" vertical="center"/>
    </xf>
    <xf numFmtId="0" fontId="9" fillId="11" borderId="0" xfId="0" applyFont="1" applyFill="1"/>
    <xf numFmtId="0" fontId="24" fillId="11" borderId="0" xfId="0" applyFont="1" applyFill="1"/>
    <xf numFmtId="0" fontId="0" fillId="18" borderId="0" xfId="0" applyFill="1"/>
    <xf numFmtId="0" fontId="0" fillId="15" borderId="0" xfId="0" applyFill="1"/>
    <xf numFmtId="0" fontId="4" fillId="15" borderId="0" xfId="0" applyFont="1" applyFill="1"/>
    <xf numFmtId="0" fontId="23" fillId="15" borderId="0" xfId="0" applyFont="1" applyFill="1"/>
    <xf numFmtId="0" fontId="9" fillId="7" borderId="4" xfId="0" applyFont="1" applyFill="1" applyBorder="1"/>
    <xf numFmtId="0" fontId="4" fillId="15" borderId="0" xfId="0" applyFont="1" applyFill="1" applyAlignment="1">
      <alignment wrapText="1"/>
    </xf>
    <xf numFmtId="0" fontId="4" fillId="15" borderId="0" xfId="0" applyFont="1" applyFill="1" applyAlignment="1">
      <alignment horizontal="right" wrapText="1"/>
    </xf>
    <xf numFmtId="0" fontId="0" fillId="15" borderId="0" xfId="0" applyFill="1" applyAlignment="1">
      <alignment horizontal="right"/>
    </xf>
    <xf numFmtId="9" fontId="0" fillId="15" borderId="0" xfId="0" applyNumberFormat="1" applyFill="1"/>
    <xf numFmtId="0" fontId="4" fillId="15" borderId="0" xfId="0" applyFont="1" applyFill="1" applyAlignment="1">
      <alignment horizontal="right"/>
    </xf>
    <xf numFmtId="164" fontId="4" fillId="15" borderId="0" xfId="0" applyNumberFormat="1" applyFont="1" applyFill="1"/>
    <xf numFmtId="0" fontId="9" fillId="15" borderId="0" xfId="0" applyFont="1" applyFill="1"/>
    <xf numFmtId="0" fontId="9" fillId="15" borderId="0" xfId="0" applyFont="1" applyFill="1" applyAlignment="1">
      <alignment horizontal="right"/>
    </xf>
    <xf numFmtId="1" fontId="0" fillId="15" borderId="0" xfId="0" applyNumberFormat="1" applyFill="1"/>
    <xf numFmtId="0" fontId="24" fillId="15" borderId="0" xfId="0" applyFont="1" applyFill="1"/>
    <xf numFmtId="0" fontId="24" fillId="15" borderId="0" xfId="0" applyFont="1" applyFill="1" applyAlignment="1">
      <alignment horizontal="right"/>
    </xf>
    <xf numFmtId="164" fontId="17" fillId="17" borderId="0" xfId="0" applyNumberFormat="1" applyFont="1" applyFill="1" applyAlignment="1">
      <alignment horizontal="center" vertical="center"/>
    </xf>
    <xf numFmtId="0" fontId="22" fillId="17" borderId="0" xfId="60" applyFont="1" applyFill="1" applyBorder="1"/>
    <xf numFmtId="0" fontId="8" fillId="15" borderId="0" xfId="0" applyFont="1" applyFill="1"/>
    <xf numFmtId="0" fontId="0" fillId="9" borderId="0" xfId="0" applyFill="1" applyAlignment="1">
      <alignment horizontal="right"/>
    </xf>
    <xf numFmtId="49" fontId="9" fillId="7" borderId="1" xfId="1" applyNumberFormat="1" applyFont="1" applyFill="1"/>
    <xf numFmtId="164" fontId="2" fillId="10" borderId="2" xfId="63" applyNumberFormat="1" applyFill="1" applyBorder="1"/>
    <xf numFmtId="164" fontId="2" fillId="10" borderId="2" xfId="63" applyNumberFormat="1" applyFill="1" applyBorder="1" applyAlignment="1">
      <alignment horizontal="right"/>
    </xf>
    <xf numFmtId="164" fontId="9" fillId="7" borderId="1" xfId="1" applyNumberFormat="1" applyFont="1" applyFill="1"/>
    <xf numFmtId="164" fontId="0" fillId="9" borderId="0" xfId="0" applyNumberFormat="1" applyFill="1" applyBorder="1"/>
    <xf numFmtId="0" fontId="23" fillId="18" borderId="0" xfId="0" applyFont="1" applyFill="1"/>
    <xf numFmtId="9" fontId="9" fillId="15" borderId="0" xfId="0" applyNumberFormat="1" applyFont="1" applyFill="1"/>
    <xf numFmtId="0" fontId="23" fillId="8" borderId="0" xfId="0" applyFont="1" applyFill="1"/>
    <xf numFmtId="0" fontId="4" fillId="8" borderId="0" xfId="0" applyFont="1" applyFill="1"/>
    <xf numFmtId="0" fontId="0" fillId="8" borderId="0" xfId="0" applyFill="1" applyAlignment="1">
      <alignment horizontal="left"/>
    </xf>
    <xf numFmtId="0" fontId="0" fillId="14" borderId="0" xfId="0" applyFill="1"/>
    <xf numFmtId="9" fontId="0" fillId="14" borderId="0" xfId="0" applyNumberFormat="1" applyFill="1"/>
    <xf numFmtId="9" fontId="0" fillId="7" borderId="0" xfId="0" applyNumberFormat="1" applyFill="1"/>
    <xf numFmtId="49" fontId="24" fillId="8" borderId="0" xfId="0" applyNumberFormat="1" applyFont="1" applyFill="1" applyAlignment="1">
      <alignment wrapText="1"/>
    </xf>
    <xf numFmtId="49" fontId="24" fillId="8" borderId="0" xfId="0" applyNumberFormat="1" applyFont="1" applyFill="1" applyAlignment="1">
      <alignment horizontal="right" wrapText="1"/>
    </xf>
    <xf numFmtId="0" fontId="4" fillId="8" borderId="0" xfId="0" applyFont="1" applyFill="1" applyAlignment="1">
      <alignment horizontal="right"/>
    </xf>
    <xf numFmtId="165" fontId="0" fillId="14" borderId="0" xfId="0" applyNumberFormat="1" applyFill="1" applyAlignment="1">
      <alignment horizontal="left"/>
    </xf>
    <xf numFmtId="165" fontId="0" fillId="14" borderId="0" xfId="0" applyNumberFormat="1" applyFill="1"/>
    <xf numFmtId="165" fontId="0" fillId="7" borderId="0" xfId="0" applyNumberFormat="1" applyFill="1"/>
    <xf numFmtId="165" fontId="0" fillId="7" borderId="0" xfId="0" applyNumberFormat="1" applyFill="1" applyAlignment="1">
      <alignment horizontal="left"/>
    </xf>
    <xf numFmtId="165" fontId="0" fillId="9" borderId="0" xfId="0" applyNumberFormat="1" applyFill="1" applyBorder="1" applyAlignment="1">
      <alignment horizontal="left"/>
    </xf>
    <xf numFmtId="0" fontId="0" fillId="9" borderId="5" xfId="0" applyFill="1" applyBorder="1"/>
    <xf numFmtId="0" fontId="0" fillId="8" borderId="5" xfId="0" applyFill="1" applyBorder="1"/>
    <xf numFmtId="0" fontId="0" fillId="10" borderId="5" xfId="0" applyFill="1" applyBorder="1"/>
    <xf numFmtId="0" fontId="1" fillId="20" borderId="5" xfId="470" applyFill="1" applyBorder="1"/>
    <xf numFmtId="9" fontId="1" fillId="20" borderId="5" xfId="470" applyNumberFormat="1" applyFill="1" applyBorder="1"/>
    <xf numFmtId="9" fontId="0" fillId="9" borderId="5" xfId="0" applyNumberFormat="1" applyFill="1" applyBorder="1"/>
    <xf numFmtId="0" fontId="0" fillId="11" borderId="5" xfId="0" applyFill="1" applyBorder="1"/>
    <xf numFmtId="9" fontId="0" fillId="11" borderId="5" xfId="0" applyNumberFormat="1" applyFill="1" applyBorder="1"/>
    <xf numFmtId="9" fontId="0" fillId="8" borderId="5" xfId="0" applyNumberFormat="1" applyFill="1" applyBorder="1"/>
    <xf numFmtId="0" fontId="1" fillId="20" borderId="6" xfId="470" applyFill="1" applyBorder="1"/>
    <xf numFmtId="9" fontId="1" fillId="20" borderId="6" xfId="470" applyNumberFormat="1" applyFill="1" applyBorder="1"/>
    <xf numFmtId="0" fontId="0" fillId="9" borderId="6" xfId="0" applyFill="1" applyBorder="1"/>
    <xf numFmtId="9" fontId="0" fillId="9" borderId="6" xfId="0" applyNumberFormat="1" applyFill="1" applyBorder="1"/>
    <xf numFmtId="0" fontId="0" fillId="11" borderId="6" xfId="0" applyFill="1" applyBorder="1"/>
    <xf numFmtId="9" fontId="0" fillId="11" borderId="6" xfId="0" applyNumberFormat="1" applyFill="1" applyBorder="1"/>
    <xf numFmtId="0" fontId="0" fillId="8" borderId="6" xfId="0" applyFill="1" applyBorder="1"/>
    <xf numFmtId="9" fontId="0" fillId="8" borderId="6" xfId="0" applyNumberFormat="1" applyFill="1" applyBorder="1"/>
    <xf numFmtId="0" fontId="0" fillId="10" borderId="6" xfId="0" applyFill="1" applyBorder="1"/>
    <xf numFmtId="0" fontId="0" fillId="20" borderId="7" xfId="0" applyFill="1" applyBorder="1"/>
    <xf numFmtId="0" fontId="0" fillId="9" borderId="7" xfId="0" applyFill="1" applyBorder="1"/>
    <xf numFmtId="0" fontId="0" fillId="8" borderId="7" xfId="0" applyFill="1" applyBorder="1"/>
    <xf numFmtId="0" fontId="0" fillId="10" borderId="7" xfId="0" applyFill="1" applyBorder="1"/>
    <xf numFmtId="0" fontId="4" fillId="20" borderId="0" xfId="470" applyFont="1" applyFill="1" applyBorder="1" applyAlignment="1">
      <alignment horizontal="right"/>
    </xf>
    <xf numFmtId="0" fontId="4" fillId="9" borderId="0" xfId="0" applyFont="1" applyFill="1" applyBorder="1" applyAlignment="1">
      <alignment horizontal="right"/>
    </xf>
    <xf numFmtId="0" fontId="4" fillId="11" borderId="0" xfId="0" applyFont="1" applyFill="1" applyBorder="1"/>
    <xf numFmtId="0" fontId="4" fillId="11" borderId="0" xfId="0" applyFont="1" applyFill="1" applyBorder="1" applyAlignment="1">
      <alignment horizontal="right"/>
    </xf>
    <xf numFmtId="0" fontId="4" fillId="8" borderId="0" xfId="0" applyFont="1" applyFill="1" applyBorder="1"/>
    <xf numFmtId="0" fontId="4" fillId="8" borderId="0" xfId="0" applyFont="1" applyFill="1" applyBorder="1" applyAlignment="1">
      <alignment horizontal="right"/>
    </xf>
    <xf numFmtId="0" fontId="4" fillId="10" borderId="0" xfId="0" applyFont="1" applyFill="1" applyBorder="1" applyAlignment="1">
      <alignment horizontal="right"/>
    </xf>
    <xf numFmtId="0" fontId="4" fillId="10" borderId="11" xfId="0" applyFont="1" applyFill="1" applyBorder="1" applyAlignment="1">
      <alignment horizontal="right"/>
    </xf>
    <xf numFmtId="9" fontId="0" fillId="10" borderId="13" xfId="0" applyNumberFormat="1" applyFill="1" applyBorder="1"/>
    <xf numFmtId="9" fontId="0" fillId="10" borderId="15" xfId="0" applyNumberFormat="1" applyFill="1" applyBorder="1"/>
    <xf numFmtId="0" fontId="0" fillId="10" borderId="9" xfId="0" applyFill="1" applyBorder="1"/>
    <xf numFmtId="0" fontId="25" fillId="13" borderId="8" xfId="0" applyFont="1" applyFill="1" applyBorder="1"/>
    <xf numFmtId="0" fontId="12" fillId="13" borderId="7" xfId="0" applyFont="1" applyFill="1" applyBorder="1"/>
    <xf numFmtId="0" fontId="12" fillId="13" borderId="9" xfId="0" applyFont="1" applyFill="1" applyBorder="1"/>
    <xf numFmtId="0" fontId="10" fillId="0" borderId="0" xfId="0" applyFont="1" applyAlignment="1">
      <alignment horizontal="right"/>
    </xf>
    <xf numFmtId="0" fontId="10" fillId="20" borderId="6" xfId="470" applyFont="1" applyFill="1" applyBorder="1"/>
    <xf numFmtId="9" fontId="10" fillId="20" borderId="6" xfId="470" applyNumberFormat="1" applyFont="1" applyFill="1" applyBorder="1"/>
    <xf numFmtId="0" fontId="10" fillId="9" borderId="6" xfId="0" applyFont="1" applyFill="1" applyBorder="1"/>
    <xf numFmtId="9" fontId="10" fillId="9" borderId="6" xfId="0" applyNumberFormat="1" applyFont="1" applyFill="1" applyBorder="1"/>
    <xf numFmtId="0" fontId="10" fillId="11" borderId="6" xfId="0" applyFont="1" applyFill="1" applyBorder="1"/>
    <xf numFmtId="9" fontId="10" fillId="11" borderId="6" xfId="0" applyNumberFormat="1" applyFont="1" applyFill="1" applyBorder="1"/>
    <xf numFmtId="0" fontId="10" fillId="8" borderId="6" xfId="0" applyFont="1" applyFill="1" applyBorder="1"/>
    <xf numFmtId="9" fontId="10" fillId="8" borderId="6" xfId="0" applyNumberFormat="1" applyFont="1" applyFill="1" applyBorder="1"/>
    <xf numFmtId="0" fontId="10" fillId="10" borderId="6" xfId="0" applyFont="1" applyFill="1" applyBorder="1"/>
    <xf numFmtId="9" fontId="26" fillId="10" borderId="15" xfId="0" applyNumberFormat="1" applyFont="1" applyFill="1" applyBorder="1"/>
    <xf numFmtId="0" fontId="0" fillId="20" borderId="6" xfId="0" applyFill="1" applyBorder="1"/>
    <xf numFmtId="0" fontId="0" fillId="10" borderId="15" xfId="0" applyFill="1" applyBorder="1"/>
    <xf numFmtId="0" fontId="4" fillId="0" borderId="0" xfId="0" applyFont="1"/>
    <xf numFmtId="0" fontId="9" fillId="11" borderId="7" xfId="0" applyFont="1" applyFill="1" applyBorder="1"/>
    <xf numFmtId="0" fontId="27" fillId="0" borderId="12" xfId="0" applyFont="1" applyBorder="1"/>
    <xf numFmtId="0" fontId="28" fillId="20" borderId="5" xfId="0" applyFont="1" applyFill="1" applyBorder="1"/>
    <xf numFmtId="9" fontId="29" fillId="20" borderId="5" xfId="0" applyNumberFormat="1" applyFont="1" applyFill="1" applyBorder="1"/>
    <xf numFmtId="0" fontId="28" fillId="9" borderId="5" xfId="0" applyFont="1" applyFill="1" applyBorder="1"/>
    <xf numFmtId="9" fontId="29" fillId="9" borderId="5" xfId="0" applyNumberFormat="1" applyFont="1" applyFill="1" applyBorder="1"/>
    <xf numFmtId="0" fontId="28" fillId="11" borderId="5" xfId="0" applyFont="1" applyFill="1" applyBorder="1"/>
    <xf numFmtId="9" fontId="29" fillId="11" borderId="5" xfId="0" applyNumberFormat="1" applyFont="1" applyFill="1" applyBorder="1"/>
    <xf numFmtId="0" fontId="28" fillId="8" borderId="5" xfId="0" applyFont="1" applyFill="1" applyBorder="1"/>
    <xf numFmtId="9" fontId="29" fillId="8" borderId="5" xfId="0" applyNumberFormat="1" applyFont="1" applyFill="1" applyBorder="1"/>
    <xf numFmtId="0" fontId="28" fillId="10" borderId="5" xfId="0" applyFont="1" applyFill="1" applyBorder="1"/>
    <xf numFmtId="9" fontId="29" fillId="10" borderId="13" xfId="0" applyNumberFormat="1" applyFont="1" applyFill="1" applyBorder="1"/>
    <xf numFmtId="0" fontId="0" fillId="7" borderId="10" xfId="0" applyFill="1" applyBorder="1"/>
    <xf numFmtId="0" fontId="0" fillId="7" borderId="12" xfId="0" applyFill="1" applyBorder="1"/>
    <xf numFmtId="0" fontId="0" fillId="7" borderId="14" xfId="0" applyFill="1" applyBorder="1"/>
    <xf numFmtId="0" fontId="10" fillId="7" borderId="14" xfId="0" applyFont="1" applyFill="1" applyBorder="1"/>
    <xf numFmtId="0" fontId="0" fillId="7" borderId="8" xfId="0" applyFill="1" applyBorder="1"/>
    <xf numFmtId="0" fontId="0" fillId="18" borderId="0" xfId="0" applyFill="1" applyAlignment="1">
      <alignment horizontal="left"/>
    </xf>
    <xf numFmtId="0" fontId="0" fillId="18" borderId="0" xfId="0" applyFill="1" applyAlignment="1">
      <alignment horizontal="center"/>
    </xf>
    <xf numFmtId="0" fontId="0" fillId="18" borderId="0" xfId="0" applyFill="1" applyBorder="1"/>
    <xf numFmtId="0" fontId="0" fillId="18" borderId="0" xfId="0" applyFill="1" applyBorder="1" applyAlignment="1">
      <alignment horizontal="center"/>
    </xf>
    <xf numFmtId="1" fontId="0" fillId="18" borderId="0" xfId="0" applyNumberFormat="1" applyFill="1"/>
    <xf numFmtId="0" fontId="4" fillId="18" borderId="0" xfId="0" applyFont="1" applyFill="1"/>
    <xf numFmtId="1" fontId="22" fillId="16" borderId="0" xfId="0" applyNumberFormat="1" applyFont="1" applyFill="1" applyAlignment="1">
      <alignment horizontal="center"/>
    </xf>
    <xf numFmtId="0" fontId="0" fillId="7" borderId="4" xfId="0" applyFill="1" applyBorder="1" applyAlignment="1">
      <alignment horizontal="center"/>
    </xf>
    <xf numFmtId="9" fontId="0" fillId="7" borderId="4" xfId="0" applyNumberFormat="1" applyFill="1" applyBorder="1" applyAlignment="1">
      <alignment horizontal="center"/>
    </xf>
    <xf numFmtId="1" fontId="0" fillId="8" borderId="0" xfId="0" applyNumberFormat="1" applyFill="1" applyAlignment="1">
      <alignment horizontal="left"/>
    </xf>
    <xf numFmtId="164" fontId="0" fillId="14" borderId="0" xfId="0" applyNumberFormat="1" applyFill="1"/>
    <xf numFmtId="164" fontId="0" fillId="7" borderId="0" xfId="0" applyNumberFormat="1" applyFill="1"/>
    <xf numFmtId="164" fontId="0" fillId="8" borderId="0" xfId="0" applyNumberFormat="1" applyFill="1" applyAlignment="1">
      <alignment horizontal="left"/>
    </xf>
    <xf numFmtId="0" fontId="24" fillId="10" borderId="2" xfId="60" applyFont="1" applyFill="1"/>
    <xf numFmtId="0" fontId="0" fillId="18" borderId="0" xfId="0" applyFill="1" applyAlignment="1">
      <alignment horizontal="right"/>
    </xf>
    <xf numFmtId="0" fontId="9" fillId="15" borderId="0" xfId="0" applyFont="1" applyFill="1" applyBorder="1"/>
    <xf numFmtId="0" fontId="9" fillId="21" borderId="0" xfId="0" applyFont="1" applyFill="1"/>
    <xf numFmtId="0" fontId="30" fillId="21" borderId="0" xfId="0" applyFont="1" applyFill="1"/>
    <xf numFmtId="0" fontId="30" fillId="15" borderId="0" xfId="0" applyFont="1" applyFill="1"/>
    <xf numFmtId="0" fontId="30" fillId="22" borderId="0" xfId="0" applyFont="1" applyFill="1"/>
    <xf numFmtId="0" fontId="30" fillId="15" borderId="0" xfId="0" applyFont="1" applyFill="1" applyBorder="1"/>
  </cellXfs>
  <cellStyles count="515">
    <cellStyle name="20% - Accent1" xfId="470" builtinId="30"/>
    <cellStyle name="20% - Accent2" xfId="62" builtinId="34"/>
    <cellStyle name="20% - Accent3" xfId="63" builtinId="38"/>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Hyperlink" xfId="466" builtinId="8" hidden="1"/>
    <cellStyle name="Hyperlink" xfId="468"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Input" xfId="1" builtinId="20"/>
    <cellStyle name="Normal" xfId="0" builtinId="0"/>
    <cellStyle name="Note" xfId="61" builtinId="10"/>
    <cellStyle name="Output" xfId="60" builtinId="21"/>
  </cellStyles>
  <dxfs count="4">
    <dxf>
      <font>
        <b/>
        <i val="0"/>
        <color rgb="FF008000"/>
      </font>
      <fill>
        <patternFill patternType="solid">
          <fgColor indexed="64"/>
          <bgColor theme="5" tint="0.79998168889431442"/>
        </patternFill>
      </fill>
    </dxf>
    <dxf>
      <font>
        <b/>
        <i val="0"/>
        <color rgb="FF9C0006"/>
      </font>
    </dxf>
    <dxf>
      <font>
        <color rgb="FF9C0006"/>
      </font>
      <fill>
        <patternFill>
          <bgColor rgb="FFFFC7CE"/>
        </patternFill>
      </fill>
    </dxf>
    <dxf>
      <font>
        <color rgb="FF006100"/>
      </font>
      <fill>
        <patternFill>
          <bgColor rgb="FFC6EF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0"/>
  <sheetViews>
    <sheetView workbookViewId="0">
      <selection activeCell="A60" sqref="A60"/>
    </sheetView>
  </sheetViews>
  <sheetFormatPr baseColWidth="10" defaultRowHeight="15" x14ac:dyDescent="0"/>
  <cols>
    <col min="1" max="1" width="181.6640625" style="52" customWidth="1"/>
  </cols>
  <sheetData>
    <row r="1" spans="1:1" ht="30">
      <c r="A1" s="53" t="s">
        <v>92</v>
      </c>
    </row>
    <row r="2" spans="1:1" ht="23">
      <c r="A2" s="51" t="s">
        <v>93</v>
      </c>
    </row>
    <row r="3" spans="1:1">
      <c r="A3" s="52" t="s">
        <v>242</v>
      </c>
    </row>
    <row r="5" spans="1:1">
      <c r="A5" s="52" t="s">
        <v>91</v>
      </c>
    </row>
    <row r="7" spans="1:1" ht="30">
      <c r="A7" s="58" t="s">
        <v>94</v>
      </c>
    </row>
    <row r="9" spans="1:1" ht="108">
      <c r="A9" s="57" t="s">
        <v>212</v>
      </c>
    </row>
    <row r="10" spans="1:1" ht="18">
      <c r="A10" s="57"/>
    </row>
    <row r="11" spans="1:1" ht="18">
      <c r="A11" s="59" t="s">
        <v>211</v>
      </c>
    </row>
    <row r="12" spans="1:1" ht="108">
      <c r="A12" s="57" t="s">
        <v>111</v>
      </c>
    </row>
    <row r="13" spans="1:1" ht="18">
      <c r="A13" s="57"/>
    </row>
    <row r="14" spans="1:1" ht="18">
      <c r="A14" s="59" t="s">
        <v>213</v>
      </c>
    </row>
    <row r="15" spans="1:1" ht="90">
      <c r="A15" s="57" t="s">
        <v>102</v>
      </c>
    </row>
    <row r="16" spans="1:1" ht="18">
      <c r="A16" s="57"/>
    </row>
    <row r="17" spans="1:1" ht="72">
      <c r="A17" s="57" t="s">
        <v>103</v>
      </c>
    </row>
    <row r="18" spans="1:1" ht="18">
      <c r="A18" s="57"/>
    </row>
    <row r="19" spans="1:1" ht="18">
      <c r="A19" s="59" t="s">
        <v>214</v>
      </c>
    </row>
    <row r="20" spans="1:1" ht="54">
      <c r="A20" s="57" t="s">
        <v>104</v>
      </c>
    </row>
    <row r="21" spans="1:1" ht="18">
      <c r="A21" s="57"/>
    </row>
    <row r="22" spans="1:1" ht="54">
      <c r="A22" s="57" t="s">
        <v>105</v>
      </c>
    </row>
    <row r="23" spans="1:1" ht="18">
      <c r="A23" s="57"/>
    </row>
    <row r="24" spans="1:1" ht="54">
      <c r="A24" s="57" t="s">
        <v>106</v>
      </c>
    </row>
    <row r="25" spans="1:1" ht="18">
      <c r="A25" s="57"/>
    </row>
    <row r="26" spans="1:1" ht="36">
      <c r="A26" s="57" t="s">
        <v>107</v>
      </c>
    </row>
    <row r="27" spans="1:1" ht="18">
      <c r="A27" s="57"/>
    </row>
    <row r="28" spans="1:1" ht="54">
      <c r="A28" s="57" t="s">
        <v>108</v>
      </c>
    </row>
    <row r="29" spans="1:1" ht="18">
      <c r="A29" s="57"/>
    </row>
    <row r="30" spans="1:1" ht="18">
      <c r="A30" s="59" t="s">
        <v>215</v>
      </c>
    </row>
    <row r="31" spans="1:1" ht="90">
      <c r="A31" s="57" t="s">
        <v>109</v>
      </c>
    </row>
    <row r="32" spans="1:1" ht="18">
      <c r="A32" s="57"/>
    </row>
    <row r="33" spans="1:1" ht="72">
      <c r="A33" s="57" t="s">
        <v>99</v>
      </c>
    </row>
    <row r="34" spans="1:1" ht="18">
      <c r="A34" s="57"/>
    </row>
    <row r="35" spans="1:1" ht="54">
      <c r="A35" s="57" t="s">
        <v>113</v>
      </c>
    </row>
    <row r="36" spans="1:1" ht="18">
      <c r="A36" s="57"/>
    </row>
    <row r="37" spans="1:1" ht="18">
      <c r="A37" s="59" t="s">
        <v>216</v>
      </c>
    </row>
    <row r="38" spans="1:1" ht="108">
      <c r="A38" s="57" t="s">
        <v>218</v>
      </c>
    </row>
    <row r="39" spans="1:1" ht="18">
      <c r="A39" s="57"/>
    </row>
    <row r="40" spans="1:1" ht="18">
      <c r="A40" s="59" t="s">
        <v>217</v>
      </c>
    </row>
    <row r="41" spans="1:1" ht="72">
      <c r="A41" s="57" t="s">
        <v>219</v>
      </c>
    </row>
    <row r="42" spans="1:1" ht="18">
      <c r="A42" s="57"/>
    </row>
    <row r="43" spans="1:1" ht="126">
      <c r="A43" s="57" t="s">
        <v>224</v>
      </c>
    </row>
    <row r="44" spans="1:1" ht="18">
      <c r="A44" s="57"/>
    </row>
    <row r="45" spans="1:1" ht="72">
      <c r="A45" s="57" t="s">
        <v>220</v>
      </c>
    </row>
    <row r="46" spans="1:1" ht="18">
      <c r="A46" s="57"/>
    </row>
    <row r="47" spans="1:1" ht="126">
      <c r="A47" s="57" t="s">
        <v>225</v>
      </c>
    </row>
    <row r="48" spans="1:1" ht="18">
      <c r="A48" s="57"/>
    </row>
    <row r="49" spans="1:1" ht="36">
      <c r="A49" s="57" t="s">
        <v>221</v>
      </c>
    </row>
    <row r="50" spans="1:1" ht="18">
      <c r="A50" s="57"/>
    </row>
    <row r="51" spans="1:1" ht="18">
      <c r="A51" s="59" t="s">
        <v>222</v>
      </c>
    </row>
    <row r="52" spans="1:1" ht="54">
      <c r="A52" s="57" t="s">
        <v>223</v>
      </c>
    </row>
    <row r="53" spans="1:1" ht="18">
      <c r="A53" s="57"/>
    </row>
    <row r="54" spans="1:1" ht="18">
      <c r="A54" s="59" t="s">
        <v>243</v>
      </c>
    </row>
    <row r="55" spans="1:1" ht="18">
      <c r="A55" s="57"/>
    </row>
    <row r="56" spans="1:1" ht="18">
      <c r="A56" s="57" t="s">
        <v>244</v>
      </c>
    </row>
    <row r="57" spans="1:1" ht="18">
      <c r="A57" s="57"/>
    </row>
    <row r="58" spans="1:1" ht="18">
      <c r="A58" s="57" t="s">
        <v>245</v>
      </c>
    </row>
    <row r="59" spans="1:1" ht="18">
      <c r="A59" s="57"/>
    </row>
    <row r="60" spans="1:1" ht="18">
      <c r="A60" s="57" t="s">
        <v>246</v>
      </c>
    </row>
    <row r="61" spans="1:1" ht="18">
      <c r="A61" s="57"/>
    </row>
    <row r="62" spans="1:1" ht="18">
      <c r="A62" s="59" t="s">
        <v>97</v>
      </c>
    </row>
    <row r="63" spans="1:1" ht="72">
      <c r="A63" s="57" t="s">
        <v>112</v>
      </c>
    </row>
    <row r="64" spans="1:1" ht="18">
      <c r="A64" s="57"/>
    </row>
    <row r="65" spans="1:1" ht="36">
      <c r="A65" s="57" t="s">
        <v>96</v>
      </c>
    </row>
    <row r="66" spans="1:1" ht="18">
      <c r="A66" s="57"/>
    </row>
    <row r="67" spans="1:1" ht="54">
      <c r="A67" s="57" t="s">
        <v>98</v>
      </c>
    </row>
    <row r="68" spans="1:1" ht="18">
      <c r="A68" s="57"/>
    </row>
    <row r="69" spans="1:1" ht="90">
      <c r="A69" s="57" t="s">
        <v>226</v>
      </c>
    </row>
    <row r="70" spans="1:1" ht="18">
      <c r="A70" s="57"/>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4"/>
  <sheetViews>
    <sheetView tabSelected="1" workbookViewId="0">
      <selection activeCell="B19" sqref="B19"/>
    </sheetView>
  </sheetViews>
  <sheetFormatPr baseColWidth="10" defaultRowHeight="15" x14ac:dyDescent="0"/>
  <cols>
    <col min="1" max="1" width="5.83203125" customWidth="1"/>
    <col min="2" max="2" width="35.33203125" customWidth="1"/>
    <col min="3" max="3" width="10.83203125" customWidth="1"/>
    <col min="5" max="5" width="10" customWidth="1"/>
    <col min="11" max="11" width="13.6640625" customWidth="1"/>
    <col min="12" max="12" width="15" customWidth="1"/>
    <col min="14" max="15" width="9.6640625" customWidth="1"/>
    <col min="16" max="16" width="9.5" customWidth="1"/>
    <col min="17" max="17" width="8.5" customWidth="1"/>
  </cols>
  <sheetData>
    <row r="1" spans="1:20" ht="30">
      <c r="A1" s="54"/>
      <c r="B1" s="55" t="s">
        <v>92</v>
      </c>
      <c r="C1" s="56"/>
      <c r="D1" s="56"/>
      <c r="E1" s="56"/>
      <c r="F1" s="56"/>
      <c r="G1" s="56"/>
      <c r="H1" s="56"/>
      <c r="I1" s="56"/>
      <c r="J1" s="56"/>
      <c r="K1" s="56"/>
      <c r="L1" s="56"/>
      <c r="M1" s="56"/>
      <c r="N1" s="56"/>
      <c r="O1" s="56"/>
      <c r="P1" s="56"/>
      <c r="Q1" s="56"/>
      <c r="R1" s="60" t="s">
        <v>110</v>
      </c>
      <c r="S1" s="56"/>
      <c r="T1" s="56"/>
    </row>
    <row r="3" spans="1:20">
      <c r="A3" s="30"/>
      <c r="B3" s="8" t="s">
        <v>100</v>
      </c>
      <c r="C3" s="29" t="s">
        <v>15</v>
      </c>
      <c r="D3" s="6"/>
      <c r="E3" s="6"/>
      <c r="F3" s="30"/>
      <c r="G3" s="30"/>
      <c r="H3" s="30"/>
      <c r="I3" s="30"/>
      <c r="J3" s="30"/>
      <c r="L3" s="1" t="s">
        <v>69</v>
      </c>
      <c r="M3" s="2"/>
      <c r="N3" s="2"/>
      <c r="O3" s="2"/>
      <c r="P3" s="2"/>
      <c r="Q3" s="2"/>
      <c r="R3" s="2"/>
    </row>
    <row r="4" spans="1:20">
      <c r="A4" s="30"/>
      <c r="B4" s="21" t="s">
        <v>241</v>
      </c>
      <c r="C4" s="27">
        <v>2002</v>
      </c>
      <c r="D4" s="6"/>
      <c r="E4" s="6"/>
      <c r="F4" s="30"/>
      <c r="G4" s="30"/>
      <c r="H4" s="30"/>
      <c r="I4" s="30"/>
      <c r="J4" s="30"/>
      <c r="L4" s="1" t="s">
        <v>22</v>
      </c>
      <c r="M4" s="46" t="s">
        <v>34</v>
      </c>
      <c r="N4" s="46" t="s">
        <v>35</v>
      </c>
      <c r="O4" s="46" t="s">
        <v>36</v>
      </c>
      <c r="P4" s="46" t="s">
        <v>1</v>
      </c>
      <c r="Q4" s="46" t="s">
        <v>37</v>
      </c>
      <c r="R4" s="2"/>
    </row>
    <row r="5" spans="1:20">
      <c r="A5" s="30"/>
      <c r="B5" s="6"/>
      <c r="C5" s="28"/>
      <c r="D5" s="43" t="s">
        <v>83</v>
      </c>
      <c r="E5" s="43" t="s">
        <v>84</v>
      </c>
      <c r="F5" s="30"/>
      <c r="G5" s="30"/>
      <c r="H5" s="30"/>
      <c r="I5" s="30"/>
      <c r="J5" s="30"/>
      <c r="L5" s="2" t="s">
        <v>38</v>
      </c>
      <c r="M5" s="47" t="s">
        <v>39</v>
      </c>
      <c r="N5" s="47">
        <v>5</v>
      </c>
      <c r="O5" s="47">
        <v>0</v>
      </c>
      <c r="P5" s="47" t="s">
        <v>12</v>
      </c>
      <c r="Q5" s="47">
        <v>1</v>
      </c>
      <c r="R5" s="2"/>
    </row>
    <row r="6" spans="1:20">
      <c r="A6" s="30"/>
      <c r="B6" s="7" t="s">
        <v>0</v>
      </c>
      <c r="C6" s="27">
        <v>6</v>
      </c>
      <c r="D6" s="38"/>
      <c r="E6" s="28"/>
      <c r="F6" s="30"/>
      <c r="G6" s="30"/>
      <c r="H6" s="30"/>
      <c r="I6" s="30"/>
      <c r="J6" s="30"/>
      <c r="L6" s="2" t="s">
        <v>40</v>
      </c>
      <c r="M6" s="47" t="s">
        <v>41</v>
      </c>
      <c r="N6" s="47">
        <v>0</v>
      </c>
      <c r="O6" s="47">
        <v>0</v>
      </c>
      <c r="P6" s="47" t="s">
        <v>2</v>
      </c>
      <c r="Q6" s="47">
        <v>1</v>
      </c>
      <c r="R6" s="2"/>
    </row>
    <row r="7" spans="1:20">
      <c r="A7" s="30"/>
      <c r="B7" s="7" t="s">
        <v>16</v>
      </c>
      <c r="C7" s="33" t="s">
        <v>12</v>
      </c>
      <c r="D7" s="38"/>
      <c r="E7" s="50" t="str">
        <f>IF(AND(C7="Y",C22="N"),"reduce hits to 1"," ")</f>
        <v>reduce hits to 1</v>
      </c>
      <c r="F7" s="30"/>
      <c r="G7" s="30"/>
      <c r="H7" s="30"/>
      <c r="I7" s="30"/>
      <c r="J7" s="30"/>
      <c r="L7" s="2" t="s">
        <v>42</v>
      </c>
      <c r="M7" s="47" t="s">
        <v>43</v>
      </c>
      <c r="N7" s="47">
        <v>0</v>
      </c>
      <c r="O7" s="47">
        <v>0</v>
      </c>
      <c r="P7" s="47" t="s">
        <v>2</v>
      </c>
      <c r="Q7" s="47">
        <v>2</v>
      </c>
      <c r="R7" s="2"/>
    </row>
    <row r="8" spans="1:20">
      <c r="A8" s="30"/>
      <c r="B8" s="7" t="s">
        <v>17</v>
      </c>
      <c r="C8" s="33" t="s">
        <v>2</v>
      </c>
      <c r="D8" s="38"/>
      <c r="E8" s="38"/>
      <c r="F8" s="30"/>
      <c r="G8" s="30"/>
      <c r="H8" s="30"/>
      <c r="I8" s="30"/>
      <c r="J8" s="30"/>
      <c r="L8" s="2" t="s">
        <v>28</v>
      </c>
      <c r="M8" s="47" t="s">
        <v>44</v>
      </c>
      <c r="N8" s="47">
        <v>0</v>
      </c>
      <c r="O8" s="47">
        <v>0</v>
      </c>
      <c r="P8" s="47" t="s">
        <v>2</v>
      </c>
      <c r="Q8" s="47">
        <v>3</v>
      </c>
      <c r="R8" s="2"/>
    </row>
    <row r="9" spans="1:20">
      <c r="A9" s="30"/>
      <c r="B9" s="7" t="s">
        <v>18</v>
      </c>
      <c r="C9" s="33" t="s">
        <v>2</v>
      </c>
      <c r="D9" s="39"/>
      <c r="E9" s="39" t="str">
        <f>IF(C9="Y",-1," ")</f>
        <v xml:space="preserve"> </v>
      </c>
      <c r="F9" s="30"/>
      <c r="G9" s="30"/>
      <c r="H9" s="30"/>
      <c r="I9" s="30"/>
      <c r="J9" s="30"/>
      <c r="L9" s="2" t="s">
        <v>45</v>
      </c>
      <c r="M9" s="48" t="s">
        <v>47</v>
      </c>
      <c r="N9" s="47">
        <v>0</v>
      </c>
      <c r="O9" s="47">
        <v>0</v>
      </c>
      <c r="P9" s="47" t="s">
        <v>2</v>
      </c>
      <c r="Q9" s="47">
        <v>2</v>
      </c>
      <c r="R9" s="2"/>
    </row>
    <row r="10" spans="1:20">
      <c r="A10" s="30"/>
      <c r="B10" s="7" t="s">
        <v>19</v>
      </c>
      <c r="C10" s="33" t="s">
        <v>12</v>
      </c>
      <c r="D10" s="39">
        <f>IF(C10="Y",-1," ")</f>
        <v>-1</v>
      </c>
      <c r="E10" s="39"/>
      <c r="F10" s="30"/>
      <c r="G10" s="30"/>
      <c r="H10" s="30"/>
      <c r="I10" s="30"/>
      <c r="J10" s="30"/>
      <c r="L10" s="2" t="s">
        <v>46</v>
      </c>
      <c r="M10" s="49" t="s">
        <v>41</v>
      </c>
      <c r="N10" s="47">
        <v>0</v>
      </c>
      <c r="O10" s="47">
        <v>3</v>
      </c>
      <c r="P10" s="47" t="s">
        <v>12</v>
      </c>
      <c r="Q10" s="47">
        <v>2</v>
      </c>
      <c r="R10" s="2"/>
    </row>
    <row r="11" spans="1:20">
      <c r="A11" s="30"/>
      <c r="B11" s="7" t="s">
        <v>20</v>
      </c>
      <c r="C11" s="33" t="s">
        <v>2</v>
      </c>
      <c r="D11" s="39" t="str">
        <f>IF(C11="Y",C20," ")</f>
        <v xml:space="preserve"> </v>
      </c>
      <c r="E11" s="39"/>
      <c r="F11" s="30"/>
      <c r="G11" s="30"/>
      <c r="H11" s="30"/>
      <c r="I11" s="30"/>
      <c r="J11" s="30"/>
      <c r="L11" s="2" t="s">
        <v>48</v>
      </c>
      <c r="M11" s="47" t="s">
        <v>49</v>
      </c>
      <c r="N11" s="47">
        <v>0</v>
      </c>
      <c r="O11" s="47">
        <v>0</v>
      </c>
      <c r="P11" s="47" t="s">
        <v>2</v>
      </c>
      <c r="Q11" s="47">
        <v>2</v>
      </c>
      <c r="R11" s="2"/>
    </row>
    <row r="12" spans="1:20">
      <c r="A12" s="30"/>
      <c r="B12" s="7" t="s">
        <v>21</v>
      </c>
      <c r="C12" s="33" t="s">
        <v>12</v>
      </c>
      <c r="D12" s="39">
        <f>IF(C12="Y",C21," ")</f>
        <v>0</v>
      </c>
      <c r="E12" s="39"/>
      <c r="F12" s="30"/>
      <c r="G12" s="30"/>
      <c r="H12" s="30"/>
      <c r="I12" s="30"/>
      <c r="J12" s="30"/>
      <c r="L12" s="2" t="s">
        <v>50</v>
      </c>
      <c r="M12" s="47" t="s">
        <v>51</v>
      </c>
      <c r="N12" s="47">
        <v>0</v>
      </c>
      <c r="O12" s="47">
        <v>0</v>
      </c>
      <c r="P12" s="47" t="s">
        <v>2</v>
      </c>
      <c r="Q12" s="47">
        <v>1</v>
      </c>
      <c r="R12" s="2" t="s">
        <v>52</v>
      </c>
    </row>
    <row r="13" spans="1:20">
      <c r="A13" s="30"/>
      <c r="B13" s="6"/>
      <c r="C13" s="37"/>
      <c r="D13" s="45">
        <f>SUM(D10:D12)</f>
        <v>-1</v>
      </c>
      <c r="E13" s="45">
        <f>SUM(E9)</f>
        <v>0</v>
      </c>
      <c r="F13" s="44" t="s">
        <v>90</v>
      </c>
      <c r="G13" s="30"/>
      <c r="H13" s="30"/>
      <c r="I13" s="30"/>
      <c r="J13" s="30"/>
      <c r="L13" s="2" t="s">
        <v>53</v>
      </c>
      <c r="M13" s="47" t="s">
        <v>54</v>
      </c>
      <c r="N13" s="47">
        <v>0</v>
      </c>
      <c r="O13" s="47">
        <v>0</v>
      </c>
      <c r="P13" s="47" t="s">
        <v>2</v>
      </c>
      <c r="Q13" s="47">
        <v>4</v>
      </c>
      <c r="R13" s="2"/>
    </row>
    <row r="14" spans="1:20">
      <c r="A14" s="30"/>
      <c r="B14" s="30"/>
      <c r="C14" s="30"/>
      <c r="D14" s="30"/>
      <c r="E14" s="30"/>
      <c r="F14" s="30"/>
      <c r="G14" s="30"/>
      <c r="H14" s="30"/>
      <c r="I14" s="30"/>
      <c r="J14" s="30"/>
      <c r="L14" s="2" t="s">
        <v>55</v>
      </c>
      <c r="M14" s="47" t="s">
        <v>56</v>
      </c>
      <c r="N14" s="47">
        <v>3</v>
      </c>
      <c r="O14" s="47">
        <v>0</v>
      </c>
      <c r="P14" s="47" t="s">
        <v>12</v>
      </c>
      <c r="Q14" s="47">
        <v>2</v>
      </c>
      <c r="R14" s="2"/>
    </row>
    <row r="15" spans="1:20">
      <c r="L15" s="2" t="s">
        <v>57</v>
      </c>
      <c r="M15" s="47" t="s">
        <v>58</v>
      </c>
      <c r="N15" s="47">
        <v>0</v>
      </c>
      <c r="O15" s="47">
        <v>0</v>
      </c>
      <c r="P15" s="47" t="s">
        <v>2</v>
      </c>
      <c r="Q15" s="47">
        <v>3</v>
      </c>
      <c r="R15" s="2"/>
    </row>
    <row r="16" spans="1:20">
      <c r="A16" s="35"/>
      <c r="B16" s="5" t="s">
        <v>71</v>
      </c>
      <c r="C16" s="3"/>
      <c r="D16" s="3"/>
      <c r="E16" s="3"/>
      <c r="F16" s="3"/>
      <c r="G16" s="3"/>
      <c r="H16" s="3"/>
      <c r="I16" s="3"/>
      <c r="J16" s="3"/>
      <c r="K16" s="3"/>
      <c r="L16" s="2" t="s">
        <v>59</v>
      </c>
      <c r="M16" s="47" t="s">
        <v>60</v>
      </c>
      <c r="N16" s="47">
        <v>0</v>
      </c>
      <c r="O16" s="47">
        <v>0</v>
      </c>
      <c r="P16" s="47" t="s">
        <v>2</v>
      </c>
      <c r="Q16" s="47">
        <v>2</v>
      </c>
      <c r="R16" s="2"/>
      <c r="S16" s="3"/>
    </row>
    <row r="17" spans="1:19">
      <c r="A17" s="31"/>
      <c r="B17" s="3"/>
      <c r="C17" s="32" t="s">
        <v>11</v>
      </c>
      <c r="D17" s="3"/>
      <c r="E17" s="3"/>
      <c r="F17" s="3"/>
      <c r="G17" s="3"/>
      <c r="H17" s="3"/>
      <c r="I17" s="3"/>
      <c r="J17" s="3"/>
      <c r="K17" s="3"/>
      <c r="L17" s="2" t="s">
        <v>61</v>
      </c>
      <c r="M17" s="47" t="s">
        <v>62</v>
      </c>
      <c r="N17" s="47">
        <v>0</v>
      </c>
      <c r="O17" s="47">
        <v>0</v>
      </c>
      <c r="P17" s="47" t="s">
        <v>2</v>
      </c>
      <c r="Q17" s="47">
        <v>3</v>
      </c>
      <c r="R17" s="2"/>
      <c r="S17" s="3"/>
    </row>
    <row r="18" spans="1:19">
      <c r="A18" s="31"/>
      <c r="B18" s="36" t="s">
        <v>95</v>
      </c>
      <c r="C18" s="24" t="s">
        <v>3</v>
      </c>
      <c r="D18" s="24" t="s">
        <v>4</v>
      </c>
      <c r="E18" s="24" t="s">
        <v>5</v>
      </c>
      <c r="F18" s="24" t="s">
        <v>7</v>
      </c>
      <c r="G18" s="4"/>
      <c r="H18" s="4"/>
      <c r="I18" s="3"/>
      <c r="J18" s="3"/>
      <c r="K18" s="3"/>
      <c r="L18" s="2" t="s">
        <v>63</v>
      </c>
      <c r="M18" s="48" t="s">
        <v>65</v>
      </c>
      <c r="N18" s="47">
        <v>0</v>
      </c>
      <c r="O18" s="47">
        <v>0</v>
      </c>
      <c r="P18" s="47" t="s">
        <v>2</v>
      </c>
      <c r="Q18" s="47">
        <v>2</v>
      </c>
      <c r="R18" s="2"/>
      <c r="S18" s="3"/>
    </row>
    <row r="19" spans="1:19">
      <c r="A19" s="31"/>
      <c r="B19" s="19" t="s">
        <v>45</v>
      </c>
      <c r="C19" s="25">
        <v>4</v>
      </c>
      <c r="D19" s="25">
        <v>7</v>
      </c>
      <c r="E19" s="25">
        <v>10</v>
      </c>
      <c r="F19" s="25" t="s">
        <v>77</v>
      </c>
      <c r="G19" s="3"/>
      <c r="H19" s="3"/>
      <c r="I19" s="3"/>
      <c r="J19" s="3"/>
      <c r="K19" s="3"/>
      <c r="L19" s="2" t="s">
        <v>64</v>
      </c>
      <c r="M19" s="47" t="s">
        <v>66</v>
      </c>
      <c r="N19" s="47">
        <v>0</v>
      </c>
      <c r="O19" s="47">
        <v>0</v>
      </c>
      <c r="P19" s="47" t="s">
        <v>2</v>
      </c>
      <c r="Q19" s="47">
        <v>1</v>
      </c>
      <c r="R19" s="2"/>
      <c r="S19" s="3"/>
    </row>
    <row r="20" spans="1:19">
      <c r="A20" s="31"/>
      <c r="B20" s="3" t="s">
        <v>13</v>
      </c>
      <c r="C20" s="26">
        <v>0</v>
      </c>
      <c r="D20" s="3"/>
      <c r="E20" s="3"/>
      <c r="F20" s="3"/>
      <c r="G20" s="3"/>
      <c r="H20" s="3"/>
      <c r="I20" s="3"/>
      <c r="J20" s="3"/>
      <c r="K20" s="3"/>
      <c r="L20" s="2" t="s">
        <v>67</v>
      </c>
      <c r="M20" s="47" t="s">
        <v>68</v>
      </c>
      <c r="N20" s="47">
        <v>3</v>
      </c>
      <c r="O20" s="47">
        <v>0</v>
      </c>
      <c r="P20" s="47" t="s">
        <v>2</v>
      </c>
      <c r="Q20" s="47">
        <v>1</v>
      </c>
      <c r="R20" s="2"/>
      <c r="S20" s="3"/>
    </row>
    <row r="21" spans="1:19">
      <c r="A21" s="31"/>
      <c r="B21" s="3" t="s">
        <v>14</v>
      </c>
      <c r="C21" s="26">
        <v>0</v>
      </c>
      <c r="D21" s="3"/>
      <c r="E21" s="3"/>
      <c r="F21" s="3"/>
      <c r="G21" s="3"/>
      <c r="H21" s="3"/>
      <c r="I21" s="3"/>
      <c r="J21" s="3"/>
      <c r="K21" s="3"/>
      <c r="L21" s="3"/>
      <c r="M21" s="3"/>
      <c r="N21" s="3"/>
      <c r="O21" s="3"/>
      <c r="P21" s="3"/>
      <c r="Q21" s="3"/>
      <c r="R21" s="3"/>
      <c r="S21" s="3"/>
    </row>
    <row r="22" spans="1:19">
      <c r="A22" s="31"/>
      <c r="B22" s="3" t="s">
        <v>10</v>
      </c>
      <c r="C22" s="34" t="s">
        <v>2</v>
      </c>
      <c r="D22" s="3"/>
      <c r="E22" s="3"/>
      <c r="F22" s="3"/>
      <c r="G22" s="3"/>
      <c r="H22" s="3"/>
      <c r="I22" s="3"/>
      <c r="J22" s="3"/>
      <c r="K22" s="3"/>
      <c r="L22" s="3"/>
      <c r="M22" s="3"/>
      <c r="N22" s="3"/>
      <c r="O22" s="3"/>
      <c r="P22" s="3"/>
      <c r="Q22" s="3"/>
      <c r="R22" s="3"/>
      <c r="S22" s="3"/>
    </row>
    <row r="23" spans="1:19">
      <c r="A23" s="31"/>
      <c r="B23" s="3" t="s">
        <v>29</v>
      </c>
      <c r="C23" s="26">
        <v>2</v>
      </c>
      <c r="D23" s="3"/>
      <c r="E23" s="3"/>
      <c r="F23" s="3"/>
      <c r="G23" s="3"/>
      <c r="H23" s="3"/>
      <c r="I23" s="3"/>
      <c r="J23" s="3"/>
      <c r="K23" s="3"/>
      <c r="L23" s="3"/>
      <c r="M23" s="3"/>
      <c r="N23" s="3"/>
      <c r="O23" s="3"/>
      <c r="P23" s="3"/>
      <c r="Q23" s="3"/>
      <c r="R23" s="3"/>
      <c r="S23" s="3"/>
    </row>
    <row r="24" spans="1:19">
      <c r="A24" s="31"/>
      <c r="B24" s="11" t="str">
        <f>IF(AND(C4&lt;2008,C8="N"),"Early JDAM warning:  GBU-31/32/38 may not be used against this mobile target", " ")</f>
        <v>Early JDAM warning:  GBU-31/32/38 may not be used against this mobile target</v>
      </c>
      <c r="C24" s="3"/>
      <c r="D24" s="3"/>
      <c r="E24" s="3"/>
      <c r="F24" s="3"/>
      <c r="G24" s="3"/>
      <c r="H24" s="3"/>
      <c r="I24" s="3"/>
      <c r="J24" s="3"/>
      <c r="K24" s="3"/>
      <c r="L24" s="3"/>
      <c r="M24" s="3"/>
      <c r="N24" s="3"/>
      <c r="O24" s="3"/>
      <c r="P24" s="3"/>
      <c r="Q24" s="3"/>
      <c r="R24" s="3"/>
      <c r="S24" s="3"/>
    </row>
    <row r="25" spans="1:19">
      <c r="A25" s="31"/>
      <c r="B25" s="11" t="str">
        <f>IF(AND(C7="Y",C22="N"),"Dispersed target: 1 hit per weapon only"," ")</f>
        <v>Dispersed target: 1 hit per weapon only</v>
      </c>
      <c r="C25" s="3"/>
      <c r="D25" s="3"/>
      <c r="E25" s="3"/>
      <c r="F25" s="3"/>
      <c r="G25" s="3"/>
      <c r="H25" s="3"/>
      <c r="I25" s="3"/>
      <c r="J25" s="3"/>
      <c r="K25" s="3"/>
      <c r="L25" s="3"/>
      <c r="M25" s="3"/>
      <c r="N25" s="3"/>
      <c r="O25" s="3"/>
      <c r="P25" s="3"/>
      <c r="Q25" s="3"/>
      <c r="R25" s="3"/>
      <c r="S25" s="3"/>
    </row>
    <row r="26" spans="1:19" ht="60">
      <c r="A26" s="31"/>
      <c r="B26" s="5" t="s">
        <v>72</v>
      </c>
      <c r="C26" s="9" t="s">
        <v>8</v>
      </c>
      <c r="D26" s="9" t="s">
        <v>3</v>
      </c>
      <c r="E26" s="9" t="s">
        <v>4</v>
      </c>
      <c r="F26" s="9" t="s">
        <v>5</v>
      </c>
      <c r="G26" s="9" t="s">
        <v>7</v>
      </c>
      <c r="H26" s="10" t="s">
        <v>6</v>
      </c>
      <c r="I26" s="10" t="s">
        <v>33</v>
      </c>
      <c r="J26" s="10" t="s">
        <v>9</v>
      </c>
      <c r="K26" s="3"/>
      <c r="L26" s="40" t="s">
        <v>88</v>
      </c>
      <c r="M26" s="40" t="s">
        <v>89</v>
      </c>
      <c r="N26" s="42" t="s">
        <v>85</v>
      </c>
      <c r="O26" s="42" t="s">
        <v>86</v>
      </c>
      <c r="P26" s="42" t="s">
        <v>87</v>
      </c>
      <c r="Q26" s="42" t="s">
        <v>1</v>
      </c>
      <c r="R26" s="3"/>
      <c r="S26" s="3"/>
    </row>
    <row r="27" spans="1:19">
      <c r="A27" s="31"/>
      <c r="B27" s="3" t="s">
        <v>70</v>
      </c>
      <c r="C27" s="22">
        <f>IF((C19-1)/10&lt;0,0%,((C19-1)/10))</f>
        <v>0.3</v>
      </c>
      <c r="D27" s="22">
        <f>IF(C19="-",0%,IF(D19="-",(11-C19)/10,(D19-C19)/10))</f>
        <v>0.3</v>
      </c>
      <c r="E27" s="22">
        <f>IF(D19="-",0%,IF(E19="-",(11-D19)/10,(E19-D19)/10))</f>
        <v>0.3</v>
      </c>
      <c r="F27" s="22">
        <f>IF(E19="-",0%,IF(F19="-",(11-E19)/10,(F19-E19)/10))</f>
        <v>0.1</v>
      </c>
      <c r="G27" s="22">
        <f>IF(F19="-",0%,(11-F19)/10)</f>
        <v>0</v>
      </c>
      <c r="H27" s="94">
        <f t="shared" ref="H27:H33" si="0">(1*D27)+(2*E27)+(3*F27)+(4*G27)</f>
        <v>1.2</v>
      </c>
      <c r="I27" s="94">
        <f>H27/C23</f>
        <v>0.6</v>
      </c>
      <c r="J27" s="95">
        <f>IF(C27=100%,"CANNOT",(C6/H27))</f>
        <v>5</v>
      </c>
      <c r="K27" s="11" t="str">
        <f>IF(AND(C7="N",C9="N",C10="N",C11="N",C12="N"),"&lt;&lt; This target"," ")</f>
        <v xml:space="preserve"> </v>
      </c>
      <c r="L27" s="41">
        <v>1</v>
      </c>
      <c r="M27" s="41" t="str">
        <f t="shared" ref="M27:M36" si="1">IF(Q27=0,"miss",Q27)</f>
        <v>miss</v>
      </c>
      <c r="N27" s="42">
        <f>L27+D13</f>
        <v>0</v>
      </c>
      <c r="O27" s="42">
        <f>IF(N27&lt;C19,0,(IF(N27&lt;D19,1,IF(N27&lt;E19,2,IF(N27&lt;F19,3,4)))))</f>
        <v>0</v>
      </c>
      <c r="P27" s="42">
        <f>IF((O27+E13)&lt;0,0,(O27+E13))</f>
        <v>0</v>
      </c>
      <c r="Q27" s="42">
        <f>IF(AND(C7="Y",C22="N",P27&gt;1),1,P27)</f>
        <v>0</v>
      </c>
      <c r="R27" s="3"/>
      <c r="S27" s="3"/>
    </row>
    <row r="28" spans="1:19">
      <c r="A28" s="31"/>
      <c r="B28" s="36" t="s">
        <v>78</v>
      </c>
      <c r="C28" s="22">
        <f>1-D28</f>
        <v>0.30000000000000004</v>
      </c>
      <c r="D28" s="22">
        <f>IF(C22="Y",D27,D27+E27+F27+G27)</f>
        <v>0.7</v>
      </c>
      <c r="E28" s="22">
        <f>IF(C22="Y",E27,0%)</f>
        <v>0</v>
      </c>
      <c r="F28" s="22">
        <f>IF(C22="Y",F27,0%)</f>
        <v>0</v>
      </c>
      <c r="G28" s="22">
        <f>IF(C22="Y",G27,0%)</f>
        <v>0</v>
      </c>
      <c r="H28" s="94">
        <f t="shared" si="0"/>
        <v>0.7</v>
      </c>
      <c r="I28" s="94">
        <f>H28/C23</f>
        <v>0.35</v>
      </c>
      <c r="J28" s="95">
        <f>IF(C28=100%,"CANNOT",(C6/H28))</f>
        <v>8.5714285714285712</v>
      </c>
      <c r="K28" s="11" t="str">
        <f>IF(AND(C7="Y",C9="N",C10="N",C11="N",C12="N"),"&lt;&lt; This target"," ")</f>
        <v xml:space="preserve"> </v>
      </c>
      <c r="L28" s="41">
        <v>2</v>
      </c>
      <c r="M28" s="41" t="str">
        <f t="shared" si="1"/>
        <v>miss</v>
      </c>
      <c r="N28" s="42">
        <f>L28+D13</f>
        <v>1</v>
      </c>
      <c r="O28" s="42">
        <f>IF(N28&lt;C19,0,(IF(N28&lt;D19,1,IF(N28&lt;E19,2,IF(N28&lt;F19,3,4)))))</f>
        <v>0</v>
      </c>
      <c r="P28" s="42">
        <f>IF((O28+E13)&lt;0,0,(O28+E13))</f>
        <v>0</v>
      </c>
      <c r="Q28" s="42">
        <f>IF(AND(C7="Y",C22="N",P28&gt;1),1,P28)</f>
        <v>0</v>
      </c>
      <c r="R28" s="3"/>
      <c r="S28" s="3"/>
    </row>
    <row r="29" spans="1:19">
      <c r="A29" s="31"/>
      <c r="B29" s="36" t="s">
        <v>79</v>
      </c>
      <c r="C29" s="22">
        <f>1-(D29+E29+F29+G29)</f>
        <v>0.6</v>
      </c>
      <c r="D29" s="22">
        <f>E27</f>
        <v>0.3</v>
      </c>
      <c r="E29" s="22">
        <f>F27</f>
        <v>0.1</v>
      </c>
      <c r="F29" s="22">
        <f>G27</f>
        <v>0</v>
      </c>
      <c r="G29" s="22">
        <v>0</v>
      </c>
      <c r="H29" s="94">
        <f t="shared" si="0"/>
        <v>0.5</v>
      </c>
      <c r="I29" s="94">
        <f>H29/C23</f>
        <v>0.25</v>
      </c>
      <c r="J29" s="95">
        <f>IF(C29=100%,"CANNOT",(C6/H29))</f>
        <v>12</v>
      </c>
      <c r="K29" s="11" t="str">
        <f>IF(AND(C7="N",C9="Y",C10="N",C11="N",C12="N"),"&lt;&lt; This target"," ")</f>
        <v xml:space="preserve"> </v>
      </c>
      <c r="L29" s="41">
        <v>3</v>
      </c>
      <c r="M29" s="41" t="str">
        <f t="shared" si="1"/>
        <v>miss</v>
      </c>
      <c r="N29" s="42">
        <f>L29+D13</f>
        <v>2</v>
      </c>
      <c r="O29" s="42">
        <f>IF(N29&lt;C19,0,(IF(N29&lt;D19,1,IF(N29&lt;E19,2,IF(N29&lt;F19,3,4)))))</f>
        <v>0</v>
      </c>
      <c r="P29" s="42">
        <f>IF((O29+E13)&lt;0,0,(O29+E13))</f>
        <v>0</v>
      </c>
      <c r="Q29" s="42">
        <f>IF(AND(C7="Y",C22="N",P29&gt;1),1,P29)</f>
        <v>0</v>
      </c>
      <c r="R29" s="3"/>
      <c r="S29" s="3"/>
    </row>
    <row r="30" spans="1:19">
      <c r="A30" s="31"/>
      <c r="B30" s="36" t="s">
        <v>80</v>
      </c>
      <c r="C30" s="22">
        <f>IF((C27+(1/10))&gt;100%,100%,(C27+(1/10)))</f>
        <v>0.4</v>
      </c>
      <c r="D30" s="22">
        <f>IF(D19="-",IF((D27-(1/10))&lt;0,0%,(D27-1/10)),IF((D27&gt;(1-C30)),(1-C30),D27))</f>
        <v>0.3</v>
      </c>
      <c r="E30" s="22">
        <f>IF(D19="-",0%,IF(E19="-",IF((E27-(1/10))&lt;0,0%,(E27-(1/10))),IF((E27&gt;(1-C30-D30)),(1-C30-D30),E27)))</f>
        <v>0.3</v>
      </c>
      <c r="F30" s="22">
        <f>IF(E19="-",0%,IF(F19="-",IF((F27-(1/10))&lt;0,0%,(F27-(1/10))),IF((F27&gt;(1-C30-D30-E30)),(1-C30-D30-E30),F27)))</f>
        <v>0</v>
      </c>
      <c r="G30" s="22">
        <f>IF((1-C30-D30-E30-F30)&lt;0%,0%,1-C30-D30-E30-F30)</f>
        <v>0</v>
      </c>
      <c r="H30" s="94">
        <f t="shared" si="0"/>
        <v>0.89999999999999991</v>
      </c>
      <c r="I30" s="94">
        <f>H30/C23</f>
        <v>0.44999999999999996</v>
      </c>
      <c r="J30" s="95">
        <f>IF(C30=100%,"CANNOT",(C6/H30))</f>
        <v>6.666666666666667</v>
      </c>
      <c r="K30" s="11" t="str">
        <f>IF(AND(C7="N",C9="N",C10="Y",C11="N",C12="N"),"&lt;&lt; This target"," ")</f>
        <v xml:space="preserve"> </v>
      </c>
      <c r="L30" s="41">
        <v>4</v>
      </c>
      <c r="M30" s="41" t="str">
        <f t="shared" si="1"/>
        <v>miss</v>
      </c>
      <c r="N30" s="42">
        <f>L30+D13</f>
        <v>3</v>
      </c>
      <c r="O30" s="42">
        <f>IF(N30&lt;C19,0,(IF(N30&lt;D19,1,IF(N30&lt;E19,2,IF(N30&lt;F19,3,4)))))</f>
        <v>0</v>
      </c>
      <c r="P30" s="42">
        <f>IF((O30+E13)&lt;0,0,(O30+E13))</f>
        <v>0</v>
      </c>
      <c r="Q30" s="42">
        <f>IF(AND(C7="Y",C22="N",P30&gt;1),1,P30)</f>
        <v>0</v>
      </c>
      <c r="R30" s="3"/>
      <c r="S30" s="3"/>
    </row>
    <row r="31" spans="1:19">
      <c r="A31" s="31"/>
      <c r="B31" s="36" t="s">
        <v>81</v>
      </c>
      <c r="C31" s="22">
        <f>IF((1-(D31+E31+F31+G31))&lt;0,0%,1-(D31+E31+F31+G31))</f>
        <v>0.30000000000000004</v>
      </c>
      <c r="D31" s="22">
        <f>IF(D19="-",D27+(C20/10),IF((D27&gt;(1-G31-F31-E31)),(1-G31-F31-E31),D27))</f>
        <v>0.3</v>
      </c>
      <c r="E31" s="22">
        <f>IF(D19="-",0%,IF(E19="-",E27+(C20/10),IF((E27&gt;(1-G31-F31)),(1-G31-F31),E27)))</f>
        <v>0.3</v>
      </c>
      <c r="F31" s="22">
        <f>IF(E19="-",0%,IF(F19="-",F27+(C20/10),IF((F27&gt;(1-G31)),(1-G31),F27)))</f>
        <v>0.1</v>
      </c>
      <c r="G31" s="22">
        <f>IF(F19="-",0%,G27+(C20/10))</f>
        <v>0</v>
      </c>
      <c r="H31" s="94">
        <f t="shared" si="0"/>
        <v>1.2</v>
      </c>
      <c r="I31" s="94">
        <f>H31/C23</f>
        <v>0.6</v>
      </c>
      <c r="J31" s="95">
        <f>IF(C31=100%,"CANNOT",(C6/H31))</f>
        <v>5</v>
      </c>
      <c r="K31" s="11" t="str">
        <f>IF(AND(C7="N",C9="N",C10="N",C11="Y",C12="N"),"&lt;&lt; This target"," ")</f>
        <v xml:space="preserve"> </v>
      </c>
      <c r="L31" s="41">
        <v>5</v>
      </c>
      <c r="M31" s="41">
        <f t="shared" si="1"/>
        <v>1</v>
      </c>
      <c r="N31" s="42">
        <f>L31+D13</f>
        <v>4</v>
      </c>
      <c r="O31" s="42">
        <f>IF(N31&lt;C19,0,(IF(N31&lt;D19,1,IF(N31&lt;E19,2,IF(N31&lt;F19,3,4)))))</f>
        <v>1</v>
      </c>
      <c r="P31" s="42">
        <f>IF((O31+E13)&lt;0,0,(O31+E13))</f>
        <v>1</v>
      </c>
      <c r="Q31" s="42">
        <f>IF(AND(C7="Y",C22="N",P31&gt;1),1,P31)</f>
        <v>1</v>
      </c>
      <c r="R31" s="3"/>
      <c r="S31" s="3"/>
    </row>
    <row r="32" spans="1:19">
      <c r="A32" s="31"/>
      <c r="B32" s="36" t="s">
        <v>82</v>
      </c>
      <c r="C32" s="22">
        <f>IF(1-(D32+E32+F32+G32)&lt;0%,0%,1-(D32+E32+F32+G32))</f>
        <v>0.30000000000000004</v>
      </c>
      <c r="D32" s="22">
        <f>IF(D19="-",D27+(C21/10),IF((D27&gt;(1-G32-F32-E32)),(1-G32-F32-E32),D27))</f>
        <v>0.3</v>
      </c>
      <c r="E32" s="22">
        <f>IF(D19="-",0%,IF(E19="-",E27+(C21/10),IF((E27&gt;(1-G32-F32)),(1-G32-F32),E27)))</f>
        <v>0.3</v>
      </c>
      <c r="F32" s="22">
        <f>IF(E19="-",0%,IF(F19="-",F27+(C21/10),IF((F27&gt;(1-G32)),(1-G32),F27)))</f>
        <v>0.1</v>
      </c>
      <c r="G32" s="22">
        <f>IF(F19="-",0%,G27+(C21/10))</f>
        <v>0</v>
      </c>
      <c r="H32" s="94">
        <f t="shared" si="0"/>
        <v>1.2</v>
      </c>
      <c r="I32" s="94">
        <f>H32/C23</f>
        <v>0.6</v>
      </c>
      <c r="J32" s="95">
        <f>IF(C32=100%,"CANNOT",(C6/H32))</f>
        <v>5</v>
      </c>
      <c r="K32" s="11" t="str">
        <f>IF(AND(C7="N",C9="N",C10="N",C11="N",C12="Y"),"&lt;&lt; This target"," ")</f>
        <v xml:space="preserve"> </v>
      </c>
      <c r="L32" s="41">
        <v>6</v>
      </c>
      <c r="M32" s="41">
        <f t="shared" si="1"/>
        <v>1</v>
      </c>
      <c r="N32" s="42">
        <f>L32+D13</f>
        <v>5</v>
      </c>
      <c r="O32" s="42">
        <f>IF(N32&lt;C19,0,(IF(N32&lt;D19,1,IF(N32&lt;E19,2,IF(N32&lt;F19,3,4)))))</f>
        <v>1</v>
      </c>
      <c r="P32" s="42">
        <f>IF((O32+E13)&lt;0,0,(O32+E13))</f>
        <v>1</v>
      </c>
      <c r="Q32" s="42">
        <f>IF(AND(C7="Y",C22="N",P32&gt;1),1,P32)</f>
        <v>1</v>
      </c>
      <c r="R32" s="3"/>
      <c r="S32" s="3"/>
    </row>
    <row r="33" spans="1:19">
      <c r="A33" s="31"/>
      <c r="B33" s="36" t="s">
        <v>73</v>
      </c>
      <c r="C33" s="22">
        <f>IF((1-(D33+E33+F33+G33))&lt;0,0%,1-(D33+E33+F33+G33))</f>
        <v>0.30000000000000004</v>
      </c>
      <c r="D33" s="22">
        <f>IF(D19="-",D28+(C20/10),IF((D28&gt;(1-G33-F33-E33)),(1-G33-F33-E33),D28))</f>
        <v>0.7</v>
      </c>
      <c r="E33" s="22">
        <f>IF(D19="-",0%,IF(E19="-",E28+(C20/10),IF((E28&gt;(1-G33-F33)),(1-G33-F33),E28)))</f>
        <v>0</v>
      </c>
      <c r="F33" s="22">
        <f>IF(E19="-",0%,IF(F19="-",F28+(C20/10),IF((F28&gt;(1-G33)),(1-G33),F28)))</f>
        <v>0</v>
      </c>
      <c r="G33" s="22">
        <f>IF(F19="-",0%,G28+(C20/10))</f>
        <v>0</v>
      </c>
      <c r="H33" s="94">
        <f t="shared" si="0"/>
        <v>0.7</v>
      </c>
      <c r="I33" s="94">
        <f>H33/C23</f>
        <v>0.35</v>
      </c>
      <c r="J33" s="95">
        <f>IF(C33=100%,"CANNOT",(C6/H33))</f>
        <v>8.5714285714285712</v>
      </c>
      <c r="K33" s="11" t="str">
        <f>IF(AND(C7="Y",C9="N",C10="N",C11="Y",C12="N"),"&lt;&lt; This target"," ")</f>
        <v xml:space="preserve"> </v>
      </c>
      <c r="L33" s="41">
        <v>7</v>
      </c>
      <c r="M33" s="41">
        <f t="shared" si="1"/>
        <v>1</v>
      </c>
      <c r="N33" s="42">
        <f>L33+D13</f>
        <v>6</v>
      </c>
      <c r="O33" s="42">
        <f>IF(N33&lt;C19,0,(IF(N33&lt;D19,1,IF(N33&lt;E19,2,IF(N33&lt;F19,3,4)))))</f>
        <v>1</v>
      </c>
      <c r="P33" s="42">
        <f>IF((O33+E13)&lt;0,0,(O33+E13))</f>
        <v>1</v>
      </c>
      <c r="Q33" s="42">
        <f>IF(AND(C7="Y",C22="N",P33&gt;1),1,P33)</f>
        <v>1</v>
      </c>
      <c r="R33" s="3"/>
      <c r="S33" s="3"/>
    </row>
    <row r="34" spans="1:19">
      <c r="A34" s="31"/>
      <c r="B34" s="36" t="s">
        <v>74</v>
      </c>
      <c r="C34" s="22">
        <f>IF((1-(D34+E34+F34+G34))&lt;0,0%,1-(D34+E34+F34+G34))</f>
        <v>0.30000000000000004</v>
      </c>
      <c r="D34" s="22">
        <f>IF(D19="-",D28+(C21/10),IF((D28&gt;(1-G34-F34-E34)),(1-G34-F34-E34),D28))</f>
        <v>0.7</v>
      </c>
      <c r="E34" s="22">
        <f>IF(D19="-",0%,IF(E19="-",E28+(C21/10),IF((E28&gt;(1-G34-F34)),(1-G34-F34),E28)))</f>
        <v>0</v>
      </c>
      <c r="F34" s="22">
        <f>IF(E19="-",0%,IF(F19="-",F28+(C21/10),IF((F28&gt;(1-G34)),(1-G34),F28)))</f>
        <v>0</v>
      </c>
      <c r="G34" s="22">
        <f>IF(F19="-",0%,G28+(C21/10))</f>
        <v>0</v>
      </c>
      <c r="H34" s="94">
        <f t="shared" ref="H34:H36" si="2">(1*D34)+(2*E34)+(3*F34)+(4*G34)</f>
        <v>0.7</v>
      </c>
      <c r="I34" s="94">
        <f>H34/C23</f>
        <v>0.35</v>
      </c>
      <c r="J34" s="95">
        <f>IF(C34=100%,"CANNOT",(C6/H34))</f>
        <v>8.5714285714285712</v>
      </c>
      <c r="K34" s="11" t="str">
        <f>IF(AND(C7="Y",C9="N",C10="N",C11="N",C12="Y"),"&lt;&lt; This target"," ")</f>
        <v xml:space="preserve"> </v>
      </c>
      <c r="L34" s="41">
        <v>8</v>
      </c>
      <c r="M34" s="41">
        <f t="shared" si="1"/>
        <v>1</v>
      </c>
      <c r="N34" s="42">
        <f>L34+D13</f>
        <v>7</v>
      </c>
      <c r="O34" s="42">
        <f>IF(N34&lt;C19,0,(IF(N34&lt;D19,1,IF(N34&lt;E19,2,IF(N34&lt;F19,3,4)))))</f>
        <v>2</v>
      </c>
      <c r="P34" s="42">
        <f>IF((O34+E13)&lt;0,0,(O34+E13))</f>
        <v>2</v>
      </c>
      <c r="Q34" s="42">
        <f>IF(AND(C7="Y",C22="N",P34&gt;1),1,P34)</f>
        <v>1</v>
      </c>
      <c r="R34" s="3"/>
      <c r="S34" s="3"/>
    </row>
    <row r="35" spans="1:19">
      <c r="A35" s="31"/>
      <c r="B35" s="36" t="s">
        <v>75</v>
      </c>
      <c r="C35" s="22">
        <f>IF(C29+(1/10)&gt;100%,100%,(C29+(1/10)))</f>
        <v>0.7</v>
      </c>
      <c r="D35" s="22">
        <f>IF(D19="-",IF((D29-(1/10))&lt;0,0%,(D29-(1/10))),IF((D29&gt;(1-C35)),(1-C35),D29))</f>
        <v>0.3</v>
      </c>
      <c r="E35" s="22">
        <f>IF(D19="-",0%,IF(E19="-",IF((E29-(1/10))&lt;0,0%,(E29-(1/10))),IF((E29&gt;(1-C35-D35)),(1-C35-D35),E29)))</f>
        <v>5.5511151231257827E-17</v>
      </c>
      <c r="F35" s="22">
        <f>IF(E19="-",0%,IF(F19="-",IF((F29-(1/10))&lt;0,0%,(F29-(1/10))),IF((F29&gt;(1-C35-D35-E35)),(1-C35-D35-E35),F29)))</f>
        <v>0</v>
      </c>
      <c r="G35" s="22">
        <f>IF((1-C35-D35-E35-F35)&lt;0%,0%,1-C35-D35-E35-F35)</f>
        <v>0</v>
      </c>
      <c r="H35" s="94">
        <f t="shared" si="2"/>
        <v>0.3000000000000001</v>
      </c>
      <c r="I35" s="94">
        <f>H35/C23</f>
        <v>0.15000000000000005</v>
      </c>
      <c r="J35" s="95">
        <f>IF(C35=100%,"CANNOT",(C6/H35))</f>
        <v>19.999999999999993</v>
      </c>
      <c r="K35" s="11" t="str">
        <f>IF(AND(C7="N",C9="Y",C10="Y",C11="N",C12="N"),"&lt;&lt; This target"," ")</f>
        <v xml:space="preserve"> </v>
      </c>
      <c r="L35" s="41">
        <v>9</v>
      </c>
      <c r="M35" s="41">
        <f t="shared" si="1"/>
        <v>1</v>
      </c>
      <c r="N35" s="42">
        <f>L35+D13</f>
        <v>8</v>
      </c>
      <c r="O35" s="42">
        <f>IF(N35&lt;C19,0,(IF(N35&lt;D19,1,IF(N35&lt;E19,2,IF(N35&lt;F19,3,4)))))</f>
        <v>2</v>
      </c>
      <c r="P35" s="42">
        <f>IF((O35+E13)&lt;0,0,(O35+E13))</f>
        <v>2</v>
      </c>
      <c r="Q35" s="42">
        <f>IF(AND(C7="Y",C22="N",P35&gt;1),1,P35)</f>
        <v>1</v>
      </c>
      <c r="R35" s="3"/>
      <c r="S35" s="3"/>
    </row>
    <row r="36" spans="1:19">
      <c r="A36" s="31"/>
      <c r="B36" s="36" t="s">
        <v>76</v>
      </c>
      <c r="C36" s="22">
        <f>IF((C34+(1/10))&gt;100%,100%,(C34+(1/10)))</f>
        <v>0.4</v>
      </c>
      <c r="D36" s="22">
        <f>IF(D19="-",IF((D34-(1/10))&lt;0,0%,(D34-1/10)),IF((D34&gt;(1-C36)),(1-C36),D34))</f>
        <v>0.6</v>
      </c>
      <c r="E36" s="22">
        <f>IF(D19="-",0%,IF(E19="-",IF((E34-(1/10))&lt;0,0%,(E34-(1/10))),IF((E34&gt;(1-C36-D36)),(1-C36-D36),E34)))</f>
        <v>0</v>
      </c>
      <c r="F36" s="22">
        <f>IF(E19="-",0%,IF(F19="-",IF((F34-(1/10))&lt;0,0%,(F34-(1/10))),IF((F34&gt;(1-C36-D36-E36)),(1-C36-D36-E36),F34)))</f>
        <v>0</v>
      </c>
      <c r="G36" s="22">
        <f>IF((1-C36-D36-E36-F36)&lt;0%,0%,1-C36-D36-E36-F36)</f>
        <v>0</v>
      </c>
      <c r="H36" s="94">
        <f t="shared" si="2"/>
        <v>0.6</v>
      </c>
      <c r="I36" s="94">
        <f>H36/C23</f>
        <v>0.3</v>
      </c>
      <c r="J36" s="95">
        <f>IF(C36=100%,"CANNOT",(C6/H36))</f>
        <v>10</v>
      </c>
      <c r="K36" s="11" t="str">
        <f>IF(AND(C7="Y",C9="N",C10="Y",C11="N",C12="Y"),"&lt;&lt; This target"," ")</f>
        <v>&lt;&lt; This target</v>
      </c>
      <c r="L36" s="41">
        <v>10</v>
      </c>
      <c r="M36" s="41">
        <f t="shared" si="1"/>
        <v>1</v>
      </c>
      <c r="N36" s="42">
        <f>L36+D13</f>
        <v>9</v>
      </c>
      <c r="O36" s="42">
        <f>IF(N36&lt;C19,0,(IF(N36&lt;D19,1,IF(N36&lt;E19,2,IF(N36&lt;F19,3,4)))))</f>
        <v>2</v>
      </c>
      <c r="P36" s="42">
        <f>IF((O36+E13)&lt;0,0,(O36+E13))</f>
        <v>2</v>
      </c>
      <c r="Q36" s="42">
        <f>IF(AND(C7="Y",C22="N",P36&gt;1),1,P36)</f>
        <v>1</v>
      </c>
      <c r="R36" s="3"/>
      <c r="S36" s="3"/>
    </row>
    <row r="37" spans="1:19">
      <c r="A37" s="31"/>
      <c r="B37" s="36"/>
      <c r="C37" s="3"/>
      <c r="D37" s="3"/>
      <c r="E37" s="3"/>
      <c r="F37" s="3"/>
      <c r="G37" s="3"/>
      <c r="H37" s="3"/>
      <c r="I37" s="3"/>
      <c r="J37" s="3"/>
      <c r="K37" s="3"/>
      <c r="L37" s="3"/>
      <c r="M37" s="3"/>
      <c r="N37" s="3"/>
      <c r="O37" s="3"/>
      <c r="P37" s="3"/>
      <c r="Q37" s="3"/>
      <c r="R37" s="3"/>
      <c r="S37" s="3"/>
    </row>
    <row r="40" spans="1:19">
      <c r="A40" s="14"/>
      <c r="B40" s="12" t="s">
        <v>101</v>
      </c>
      <c r="C40" s="13" t="str">
        <f>IF(C52&lt;0,"This weapon mix is insufficient to kill this target",IF(C52&lt;1,"This weapon mix is minimally sufficient to kill this target","This weapon mix is sufficient to kill this target"))</f>
        <v>This weapon mix is sufficient to kill this target</v>
      </c>
      <c r="D40" s="14"/>
      <c r="E40" s="14"/>
      <c r="F40" s="14"/>
      <c r="G40" s="14"/>
      <c r="H40" s="14"/>
      <c r="I40" s="14"/>
      <c r="J40" s="14"/>
      <c r="K40" s="14"/>
      <c r="L40" s="14"/>
    </row>
    <row r="41" spans="1:19">
      <c r="A41" s="14"/>
      <c r="B41" s="12"/>
      <c r="C41" s="13"/>
      <c r="D41" s="14"/>
      <c r="E41" s="14"/>
      <c r="F41" s="14"/>
      <c r="G41" s="14"/>
      <c r="H41" s="14"/>
      <c r="I41" s="14"/>
      <c r="J41" s="14"/>
      <c r="K41" s="14"/>
      <c r="L41" s="14"/>
    </row>
    <row r="42" spans="1:19" ht="60">
      <c r="A42" s="14"/>
      <c r="B42" s="12" t="s">
        <v>22</v>
      </c>
      <c r="C42" s="18" t="s">
        <v>6</v>
      </c>
      <c r="D42" s="16" t="s">
        <v>23</v>
      </c>
      <c r="E42" s="17" t="s">
        <v>29</v>
      </c>
      <c r="F42" s="17" t="s">
        <v>24</v>
      </c>
      <c r="G42" s="17" t="s">
        <v>30</v>
      </c>
      <c r="H42" s="14"/>
      <c r="I42" s="14"/>
      <c r="J42" s="14"/>
      <c r="K42" s="14"/>
      <c r="L42" s="14"/>
    </row>
    <row r="43" spans="1:19">
      <c r="A43" s="14"/>
      <c r="B43" s="93" t="s">
        <v>28</v>
      </c>
      <c r="C43" s="96">
        <v>0.7</v>
      </c>
      <c r="D43" s="20">
        <v>4</v>
      </c>
      <c r="E43" s="20">
        <v>3</v>
      </c>
      <c r="F43" s="23">
        <f t="shared" ref="F43:F48" si="3">(C43*D43)</f>
        <v>2.8</v>
      </c>
      <c r="G43" s="23">
        <f t="shared" ref="G43:G48" si="4">E43*D43</f>
        <v>12</v>
      </c>
      <c r="H43" s="14"/>
      <c r="I43" s="14"/>
      <c r="J43" s="14"/>
      <c r="K43" s="14"/>
      <c r="L43" s="14"/>
    </row>
    <row r="44" spans="1:19">
      <c r="A44" s="14"/>
      <c r="B44" s="93" t="s">
        <v>57</v>
      </c>
      <c r="C44" s="96">
        <v>1.7</v>
      </c>
      <c r="D44" s="20">
        <v>2</v>
      </c>
      <c r="E44" s="20">
        <v>3</v>
      </c>
      <c r="F44" s="23">
        <f t="shared" si="3"/>
        <v>3.4</v>
      </c>
      <c r="G44" s="23">
        <f t="shared" si="4"/>
        <v>6</v>
      </c>
      <c r="H44" s="14"/>
      <c r="I44" s="14"/>
      <c r="J44" s="14"/>
      <c r="K44" s="14"/>
      <c r="L44" s="14"/>
    </row>
    <row r="45" spans="1:19">
      <c r="A45" s="14"/>
      <c r="B45" s="93" t="s">
        <v>42</v>
      </c>
      <c r="C45" s="96">
        <v>0.3</v>
      </c>
      <c r="D45" s="20">
        <v>4</v>
      </c>
      <c r="E45" s="20">
        <v>2</v>
      </c>
      <c r="F45" s="23">
        <f t="shared" si="3"/>
        <v>1.2</v>
      </c>
      <c r="G45" s="23">
        <f t="shared" si="4"/>
        <v>8</v>
      </c>
      <c r="H45" s="14"/>
      <c r="I45" s="14"/>
      <c r="J45" s="14"/>
      <c r="K45" s="14"/>
      <c r="L45" s="14"/>
    </row>
    <row r="46" spans="1:19">
      <c r="A46" s="14"/>
      <c r="B46" s="93"/>
      <c r="C46" s="96"/>
      <c r="D46" s="20"/>
      <c r="E46" s="20"/>
      <c r="F46" s="23">
        <f t="shared" si="3"/>
        <v>0</v>
      </c>
      <c r="G46" s="23">
        <f t="shared" si="4"/>
        <v>0</v>
      </c>
      <c r="H46" s="14"/>
      <c r="I46" s="14"/>
      <c r="J46" s="14"/>
      <c r="K46" s="14"/>
      <c r="L46" s="14"/>
    </row>
    <row r="47" spans="1:19">
      <c r="A47" s="14"/>
      <c r="B47" s="93"/>
      <c r="C47" s="96"/>
      <c r="D47" s="20"/>
      <c r="E47" s="20"/>
      <c r="F47" s="23">
        <f t="shared" si="3"/>
        <v>0</v>
      </c>
      <c r="G47" s="23">
        <f t="shared" si="4"/>
        <v>0</v>
      </c>
      <c r="H47" s="14"/>
      <c r="I47" s="14"/>
      <c r="J47" s="14"/>
      <c r="K47" s="14"/>
      <c r="L47" s="14"/>
    </row>
    <row r="48" spans="1:19">
      <c r="A48" s="14"/>
      <c r="B48" s="93"/>
      <c r="C48" s="96"/>
      <c r="D48" s="20"/>
      <c r="E48" s="20"/>
      <c r="F48" s="23">
        <f t="shared" si="3"/>
        <v>0</v>
      </c>
      <c r="G48" s="23">
        <f t="shared" si="4"/>
        <v>0</v>
      </c>
      <c r="H48" s="14"/>
      <c r="I48" s="14"/>
      <c r="J48" s="14"/>
      <c r="K48" s="14"/>
      <c r="L48" s="14"/>
    </row>
    <row r="49" spans="1:12">
      <c r="A49" s="14"/>
      <c r="B49" s="14"/>
      <c r="C49" s="14"/>
      <c r="D49" s="14"/>
      <c r="E49" s="14"/>
      <c r="F49" s="14"/>
      <c r="G49" s="14"/>
      <c r="H49" s="14"/>
      <c r="I49" s="14"/>
      <c r="J49" s="14"/>
      <c r="K49" s="14"/>
      <c r="L49" s="14"/>
    </row>
    <row r="50" spans="1:12">
      <c r="A50" s="14"/>
      <c r="B50" s="14" t="s">
        <v>25</v>
      </c>
      <c r="C50" s="23">
        <f>C6</f>
        <v>6</v>
      </c>
      <c r="D50" s="14"/>
      <c r="E50" s="14"/>
      <c r="F50" s="14"/>
      <c r="G50" s="14"/>
      <c r="H50" s="14"/>
      <c r="I50" s="14"/>
      <c r="J50" s="14"/>
      <c r="K50" s="14"/>
      <c r="L50" s="14"/>
    </row>
    <row r="51" spans="1:12">
      <c r="A51" s="14"/>
      <c r="B51" s="14" t="s">
        <v>26</v>
      </c>
      <c r="C51" s="23">
        <f>SUM(F43:F48)</f>
        <v>7.3999999999999995</v>
      </c>
      <c r="D51" s="14"/>
      <c r="E51" s="14"/>
      <c r="F51" s="14"/>
      <c r="G51" s="14"/>
      <c r="H51" s="14"/>
      <c r="I51" s="14"/>
      <c r="J51" s="14"/>
      <c r="K51" s="14"/>
      <c r="L51" s="14"/>
    </row>
    <row r="52" spans="1:12">
      <c r="A52" s="14"/>
      <c r="B52" s="14" t="s">
        <v>27</v>
      </c>
      <c r="C52" s="23">
        <f>C51-C50</f>
        <v>1.3999999999999995</v>
      </c>
      <c r="D52" s="14"/>
      <c r="E52" s="14"/>
      <c r="F52" s="14"/>
      <c r="G52" s="14"/>
      <c r="H52" s="14"/>
      <c r="I52" s="14"/>
      <c r="J52" s="14"/>
      <c r="K52" s="14"/>
      <c r="L52" s="14"/>
    </row>
    <row r="53" spans="1:12">
      <c r="A53" s="14"/>
      <c r="B53" s="14" t="s">
        <v>31</v>
      </c>
      <c r="C53" s="194">
        <f>SUM(G43:G48)</f>
        <v>26</v>
      </c>
      <c r="D53" s="15" t="s">
        <v>32</v>
      </c>
      <c r="E53" s="14"/>
      <c r="F53" s="14"/>
      <c r="G53" s="14"/>
      <c r="H53" s="14"/>
      <c r="I53" s="14"/>
      <c r="J53" s="14"/>
      <c r="K53" s="14"/>
      <c r="L53" s="14"/>
    </row>
    <row r="54" spans="1:12">
      <c r="A54" s="14"/>
      <c r="B54" s="14"/>
      <c r="C54" s="14"/>
      <c r="D54" s="14"/>
      <c r="E54" s="14"/>
      <c r="F54" s="14"/>
      <c r="G54" s="14"/>
      <c r="H54" s="14"/>
      <c r="I54" s="14"/>
      <c r="J54" s="14"/>
      <c r="K54" s="14"/>
      <c r="L54" s="14"/>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5"/>
  <sheetViews>
    <sheetView workbookViewId="0">
      <selection activeCell="E20" sqref="E20"/>
    </sheetView>
  </sheetViews>
  <sheetFormatPr baseColWidth="10" defaultRowHeight="15" x14ac:dyDescent="0"/>
  <cols>
    <col min="1" max="1" width="12.83203125" customWidth="1"/>
    <col min="2" max="2" width="31.6640625" customWidth="1"/>
    <col min="3" max="3" width="10.83203125" customWidth="1"/>
    <col min="6" max="6" width="10.83203125" customWidth="1"/>
  </cols>
  <sheetData>
    <row r="2" spans="1:12" ht="23">
      <c r="B2" s="147" t="s">
        <v>186</v>
      </c>
      <c r="C2" s="148"/>
      <c r="D2" s="148"/>
      <c r="E2" s="148"/>
      <c r="F2" s="148"/>
      <c r="G2" s="148"/>
      <c r="H2" s="148"/>
      <c r="I2" s="148"/>
      <c r="J2" s="148"/>
      <c r="K2" s="148"/>
      <c r="L2" s="149"/>
    </row>
    <row r="3" spans="1:12">
      <c r="B3" s="176"/>
      <c r="C3" s="136"/>
      <c r="D3" s="136" t="s">
        <v>179</v>
      </c>
      <c r="E3" s="64"/>
      <c r="F3" s="137" t="s">
        <v>180</v>
      </c>
      <c r="G3" s="138"/>
      <c r="H3" s="139" t="s">
        <v>181</v>
      </c>
      <c r="I3" s="140"/>
      <c r="J3" s="141" t="s">
        <v>182</v>
      </c>
      <c r="K3" s="142"/>
      <c r="L3" s="143" t="s">
        <v>178</v>
      </c>
    </row>
    <row r="4" spans="1:12">
      <c r="A4" s="150" t="s">
        <v>183</v>
      </c>
      <c r="B4" s="177" t="s">
        <v>169</v>
      </c>
      <c r="C4" s="117">
        <v>0</v>
      </c>
      <c r="D4" s="118">
        <f>C4/C11</f>
        <v>0</v>
      </c>
      <c r="E4" s="114">
        <v>2</v>
      </c>
      <c r="F4" s="119">
        <f>E4/E11</f>
        <v>4.4444444444444446E-2</v>
      </c>
      <c r="G4" s="120">
        <v>2</v>
      </c>
      <c r="H4" s="121">
        <f>G4/G11</f>
        <v>4.4444444444444446E-2</v>
      </c>
      <c r="I4" s="115">
        <v>2</v>
      </c>
      <c r="J4" s="122">
        <f>I4/I11</f>
        <v>4.3478260869565216E-2</v>
      </c>
      <c r="K4" s="116">
        <v>2</v>
      </c>
      <c r="L4" s="144">
        <f>K4/K11</f>
        <v>4.1666666666666664E-2</v>
      </c>
    </row>
    <row r="5" spans="1:12">
      <c r="B5" s="178" t="s">
        <v>170</v>
      </c>
      <c r="C5" s="123">
        <v>0</v>
      </c>
      <c r="D5" s="124">
        <f>C5/C11</f>
        <v>0</v>
      </c>
      <c r="E5" s="125">
        <v>4</v>
      </c>
      <c r="F5" s="126">
        <f>E5/E11</f>
        <v>8.8888888888888892E-2</v>
      </c>
      <c r="G5" s="127">
        <v>4</v>
      </c>
      <c r="H5" s="128">
        <f>G5/G11</f>
        <v>8.8888888888888892E-2</v>
      </c>
      <c r="I5" s="129">
        <v>3</v>
      </c>
      <c r="J5" s="130">
        <f>I5/I11</f>
        <v>6.5217391304347824E-2</v>
      </c>
      <c r="K5" s="131">
        <v>4</v>
      </c>
      <c r="L5" s="145">
        <f>K5/K11</f>
        <v>8.3333333333333329E-2</v>
      </c>
    </row>
    <row r="6" spans="1:12">
      <c r="A6" s="150" t="s">
        <v>184</v>
      </c>
      <c r="B6" s="178" t="s">
        <v>171</v>
      </c>
      <c r="C6" s="123">
        <v>3</v>
      </c>
      <c r="D6" s="124">
        <f>C6/C11</f>
        <v>8.5714285714285715E-2</v>
      </c>
      <c r="E6" s="125">
        <v>4</v>
      </c>
      <c r="F6" s="126">
        <f>E6/E11</f>
        <v>8.8888888888888892E-2</v>
      </c>
      <c r="G6" s="127">
        <v>4</v>
      </c>
      <c r="H6" s="128">
        <f>G6/G11</f>
        <v>8.8888888888888892E-2</v>
      </c>
      <c r="I6" s="129">
        <v>4</v>
      </c>
      <c r="J6" s="130">
        <f>I6/I11</f>
        <v>8.6956521739130432E-2</v>
      </c>
      <c r="K6" s="131">
        <v>4</v>
      </c>
      <c r="L6" s="145">
        <f>K6/K11</f>
        <v>8.3333333333333329E-2</v>
      </c>
    </row>
    <row r="7" spans="1:12">
      <c r="B7" s="178" t="s">
        <v>172</v>
      </c>
      <c r="C7" s="123">
        <v>7</v>
      </c>
      <c r="D7" s="124">
        <f>C7/C11</f>
        <v>0.2</v>
      </c>
      <c r="E7" s="125">
        <v>7</v>
      </c>
      <c r="F7" s="126">
        <f>E7/E11</f>
        <v>0.15555555555555556</v>
      </c>
      <c r="G7" s="127">
        <v>7</v>
      </c>
      <c r="H7" s="128">
        <f>G7/G11</f>
        <v>0.15555555555555556</v>
      </c>
      <c r="I7" s="129">
        <v>7</v>
      </c>
      <c r="J7" s="130">
        <f>I7/I11</f>
        <v>0.15217391304347827</v>
      </c>
      <c r="K7" s="131">
        <v>7</v>
      </c>
      <c r="L7" s="145">
        <f>K7/K11</f>
        <v>0.14583333333333334</v>
      </c>
    </row>
    <row r="8" spans="1:12">
      <c r="A8" s="150" t="s">
        <v>185</v>
      </c>
      <c r="B8" s="178" t="s">
        <v>173</v>
      </c>
      <c r="C8" s="123">
        <v>3</v>
      </c>
      <c r="D8" s="124">
        <f>C8/C11</f>
        <v>8.5714285714285715E-2</v>
      </c>
      <c r="E8" s="125">
        <v>0</v>
      </c>
      <c r="F8" s="126">
        <f>E8/E11</f>
        <v>0</v>
      </c>
      <c r="G8" s="127">
        <v>0</v>
      </c>
      <c r="H8" s="128">
        <f>G8/G11</f>
        <v>0</v>
      </c>
      <c r="I8" s="129">
        <v>3</v>
      </c>
      <c r="J8" s="130">
        <f>I8/I11</f>
        <v>6.5217391304347824E-2</v>
      </c>
      <c r="K8" s="131">
        <v>3</v>
      </c>
      <c r="L8" s="145">
        <f>K8/K11</f>
        <v>6.25E-2</v>
      </c>
    </row>
    <row r="9" spans="1:12">
      <c r="B9" s="178" t="s">
        <v>174</v>
      </c>
      <c r="C9" s="123">
        <v>3</v>
      </c>
      <c r="D9" s="124">
        <f>C9/C11</f>
        <v>8.5714285714285715E-2</v>
      </c>
      <c r="E9" s="125">
        <v>4</v>
      </c>
      <c r="F9" s="126">
        <f>E9/E11</f>
        <v>8.8888888888888892E-2</v>
      </c>
      <c r="G9" s="127">
        <v>4</v>
      </c>
      <c r="H9" s="128">
        <f>G9/G11</f>
        <v>8.8888888888888892E-2</v>
      </c>
      <c r="I9" s="129">
        <v>3</v>
      </c>
      <c r="J9" s="130">
        <f>I9/I11</f>
        <v>6.5217391304347824E-2</v>
      </c>
      <c r="K9" s="131">
        <v>4</v>
      </c>
      <c r="L9" s="145">
        <f>K9/K11</f>
        <v>8.3333333333333329E-2</v>
      </c>
    </row>
    <row r="10" spans="1:12">
      <c r="B10" s="179" t="s">
        <v>175</v>
      </c>
      <c r="C10" s="151">
        <v>19</v>
      </c>
      <c r="D10" s="152">
        <f>C10/C11</f>
        <v>0.54285714285714282</v>
      </c>
      <c r="E10" s="153">
        <v>24</v>
      </c>
      <c r="F10" s="154">
        <f>E10/E11</f>
        <v>0.53333333333333333</v>
      </c>
      <c r="G10" s="155">
        <v>24</v>
      </c>
      <c r="H10" s="156">
        <f>G10/G11</f>
        <v>0.53333333333333333</v>
      </c>
      <c r="I10" s="157">
        <v>24</v>
      </c>
      <c r="J10" s="158">
        <f>I10/I11</f>
        <v>0.52173913043478259</v>
      </c>
      <c r="K10" s="159">
        <v>24</v>
      </c>
      <c r="L10" s="160">
        <f>K10/K11</f>
        <v>0.5</v>
      </c>
    </row>
    <row r="11" spans="1:12">
      <c r="B11" s="178" t="s">
        <v>176</v>
      </c>
      <c r="C11" s="161">
        <f>SUM(C4:C10)</f>
        <v>35</v>
      </c>
      <c r="D11" s="161"/>
      <c r="E11" s="125">
        <f>SUM(E4:E10)</f>
        <v>45</v>
      </c>
      <c r="F11" s="125"/>
      <c r="G11" s="127">
        <f>SUM(G4:G10)</f>
        <v>45</v>
      </c>
      <c r="H11" s="127"/>
      <c r="I11" s="129">
        <f>SUM(I4:I10)</f>
        <v>46</v>
      </c>
      <c r="J11" s="129"/>
      <c r="K11" s="131">
        <f>SUM(K4:K10)</f>
        <v>48</v>
      </c>
      <c r="L11" s="162"/>
    </row>
    <row r="12" spans="1:12">
      <c r="B12" s="180"/>
      <c r="C12" s="132"/>
      <c r="D12" s="132"/>
      <c r="E12" s="133"/>
      <c r="F12" s="133"/>
      <c r="G12" s="164"/>
      <c r="H12" s="164"/>
      <c r="I12" s="134"/>
      <c r="J12" s="134"/>
      <c r="K12" s="135"/>
      <c r="L12" s="146"/>
    </row>
    <row r="13" spans="1:12" ht="18">
      <c r="A13" s="163"/>
      <c r="B13" s="165" t="s">
        <v>177</v>
      </c>
      <c r="C13" s="166"/>
      <c r="D13" s="167">
        <f>1-D10</f>
        <v>0.45714285714285718</v>
      </c>
      <c r="E13" s="168"/>
      <c r="F13" s="169">
        <f>1-F10</f>
        <v>0.46666666666666667</v>
      </c>
      <c r="G13" s="170"/>
      <c r="H13" s="171">
        <f>1-H10</f>
        <v>0.46666666666666667</v>
      </c>
      <c r="I13" s="172"/>
      <c r="J13" s="173">
        <f>1-J10</f>
        <v>0.47826086956521741</v>
      </c>
      <c r="K13" s="174"/>
      <c r="L13" s="175">
        <f>1-L10</f>
        <v>0.5</v>
      </c>
    </row>
    <row r="16" spans="1:12" ht="23">
      <c r="B16" s="98" t="s">
        <v>191</v>
      </c>
      <c r="C16" s="73"/>
      <c r="D16" s="73"/>
      <c r="E16" s="73"/>
      <c r="F16" s="73"/>
      <c r="G16" s="73"/>
      <c r="H16" s="73"/>
      <c r="I16" s="73"/>
      <c r="J16" s="73"/>
      <c r="K16" s="73"/>
      <c r="L16" s="73"/>
    </row>
    <row r="17" spans="2:12">
      <c r="B17" s="73"/>
      <c r="C17" s="73"/>
      <c r="D17" s="73"/>
      <c r="E17" s="73"/>
      <c r="F17" s="73"/>
      <c r="G17" s="73" t="s">
        <v>194</v>
      </c>
      <c r="H17" s="73"/>
      <c r="I17" s="73"/>
      <c r="J17" s="73"/>
      <c r="K17" s="73"/>
      <c r="L17" s="73"/>
    </row>
    <row r="18" spans="2:12">
      <c r="B18" s="73" t="s">
        <v>187</v>
      </c>
      <c r="C18" s="189">
        <v>0.48</v>
      </c>
      <c r="D18" s="73"/>
      <c r="E18" s="73"/>
      <c r="F18" s="73"/>
      <c r="G18" s="181" t="s">
        <v>195</v>
      </c>
      <c r="H18" s="73"/>
      <c r="I18" s="73"/>
      <c r="J18" s="73"/>
      <c r="K18" s="73"/>
      <c r="L18" s="73"/>
    </row>
    <row r="19" spans="2:12">
      <c r="B19" s="73"/>
      <c r="C19" s="73"/>
      <c r="D19" s="73"/>
      <c r="E19" s="73"/>
      <c r="F19" s="73"/>
      <c r="G19" s="73" t="s">
        <v>196</v>
      </c>
      <c r="H19" s="73"/>
      <c r="I19" s="73"/>
      <c r="J19" s="73"/>
      <c r="K19" s="73"/>
      <c r="L19" s="73"/>
    </row>
    <row r="20" spans="2:12">
      <c r="B20" s="73" t="s">
        <v>188</v>
      </c>
      <c r="C20" s="188">
        <v>1</v>
      </c>
      <c r="D20" s="183"/>
      <c r="E20" s="188">
        <v>2</v>
      </c>
      <c r="F20" s="73"/>
      <c r="G20" s="73" t="s">
        <v>197</v>
      </c>
      <c r="H20" s="73"/>
      <c r="I20" s="73"/>
      <c r="J20" s="73"/>
      <c r="K20" s="73"/>
      <c r="L20" s="73"/>
    </row>
    <row r="21" spans="2:12">
      <c r="B21" s="73"/>
      <c r="C21" s="182" t="s">
        <v>189</v>
      </c>
      <c r="D21" s="184"/>
      <c r="E21" s="182" t="s">
        <v>190</v>
      </c>
      <c r="F21" s="73"/>
      <c r="G21" s="73" t="s">
        <v>203</v>
      </c>
      <c r="H21" s="73"/>
      <c r="I21" s="73"/>
      <c r="J21" s="73"/>
      <c r="K21" s="73"/>
      <c r="L21" s="73"/>
    </row>
    <row r="22" spans="2:12">
      <c r="B22" s="73"/>
      <c r="C22" s="73"/>
      <c r="D22" s="73"/>
      <c r="E22" s="73"/>
      <c r="F22" s="73"/>
      <c r="G22" s="73" t="s">
        <v>198</v>
      </c>
      <c r="H22" s="73"/>
      <c r="I22" s="73"/>
      <c r="J22" s="73"/>
      <c r="K22" s="73"/>
      <c r="L22" s="73"/>
    </row>
    <row r="23" spans="2:12">
      <c r="B23" s="186" t="s">
        <v>192</v>
      </c>
      <c r="C23" s="187">
        <f>(((C20*4)+E20)*C18)+1</f>
        <v>3.88</v>
      </c>
      <c r="D23" s="73"/>
      <c r="E23" s="73"/>
      <c r="F23" s="73"/>
      <c r="G23" s="73" t="s">
        <v>199</v>
      </c>
      <c r="H23" s="73"/>
      <c r="I23" s="73"/>
      <c r="J23" s="73"/>
      <c r="K23" s="73"/>
      <c r="L23" s="73"/>
    </row>
    <row r="24" spans="2:12">
      <c r="B24" s="195" t="s">
        <v>204</v>
      </c>
      <c r="C24" s="182">
        <f>(C20*4)+E20</f>
        <v>6</v>
      </c>
      <c r="D24" s="73" t="s">
        <v>205</v>
      </c>
      <c r="E24" s="73"/>
      <c r="F24" s="73"/>
      <c r="G24" s="73"/>
      <c r="H24" s="73"/>
      <c r="I24" s="73"/>
      <c r="J24" s="73"/>
      <c r="K24" s="73"/>
      <c r="L24" s="73"/>
    </row>
    <row r="25" spans="2:12">
      <c r="B25" s="73"/>
      <c r="C25" s="73"/>
      <c r="D25" s="73"/>
      <c r="E25" s="73"/>
      <c r="F25" s="73"/>
      <c r="G25" s="73"/>
      <c r="H25" s="73"/>
      <c r="I25" s="73"/>
      <c r="J25" s="73"/>
      <c r="K25" s="73"/>
      <c r="L25" s="73"/>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29"/>
  <sheetViews>
    <sheetView workbookViewId="0">
      <pane ySplit="13" topLeftCell="A14" activePane="bottomLeft" state="frozen"/>
      <selection pane="bottomLeft" activeCell="B17" sqref="B17"/>
    </sheetView>
  </sheetViews>
  <sheetFormatPr baseColWidth="10" defaultRowHeight="15" x14ac:dyDescent="0"/>
  <cols>
    <col min="1" max="1" width="6.1640625" customWidth="1"/>
    <col min="2" max="2" width="32.6640625" customWidth="1"/>
    <col min="7" max="7" width="10.5" customWidth="1"/>
    <col min="9" max="9" width="6.5" customWidth="1"/>
    <col min="10" max="10" width="6.6640625" customWidth="1"/>
    <col min="12" max="12" width="4.1640625" customWidth="1"/>
    <col min="15" max="15" width="17" customWidth="1"/>
  </cols>
  <sheetData>
    <row r="2" spans="1:15" ht="23">
      <c r="A2" s="14"/>
      <c r="B2" s="66" t="s">
        <v>240</v>
      </c>
      <c r="C2" s="14"/>
      <c r="D2" s="14"/>
      <c r="E2" s="14"/>
      <c r="F2" s="14"/>
      <c r="G2" s="14"/>
      <c r="H2" s="14"/>
      <c r="J2" s="71"/>
      <c r="K2" s="67" t="s">
        <v>117</v>
      </c>
      <c r="L2" s="30"/>
      <c r="M2" s="30"/>
      <c r="N2" s="30"/>
      <c r="O2" s="30"/>
    </row>
    <row r="3" spans="1:15" ht="60">
      <c r="A3" s="14"/>
      <c r="B3" s="65" t="s">
        <v>132</v>
      </c>
      <c r="C3" s="17" t="s">
        <v>114</v>
      </c>
      <c r="D3" s="17" t="s">
        <v>29</v>
      </c>
      <c r="E3" s="17" t="s">
        <v>115</v>
      </c>
      <c r="F3" s="17" t="s">
        <v>116</v>
      </c>
      <c r="G3" s="17" t="s">
        <v>200</v>
      </c>
      <c r="H3" s="14"/>
      <c r="J3" s="69"/>
      <c r="K3" s="70">
        <f>Weaponeering!$C$6</f>
        <v>6</v>
      </c>
      <c r="L3" s="30"/>
      <c r="M3" s="89">
        <f>H25+H52+H79+H106+H133+H160+H187+H214</f>
        <v>7.6199999999999992</v>
      </c>
      <c r="N3" s="30"/>
      <c r="O3" s="30"/>
    </row>
    <row r="4" spans="1:15">
      <c r="A4" s="14"/>
      <c r="B4" s="113" t="str">
        <f>Weaponeering!$B$43</f>
        <v>Mk 84</v>
      </c>
      <c r="C4" s="97">
        <f>Weaponeering!C43</f>
        <v>0.7</v>
      </c>
      <c r="D4" s="63">
        <f>Weaponeering!E43</f>
        <v>3</v>
      </c>
      <c r="E4" s="64">
        <f>Weaponeering!D43</f>
        <v>4</v>
      </c>
      <c r="F4" s="62">
        <v>4</v>
      </c>
      <c r="G4" s="63">
        <f t="shared" ref="G4:G9" si="0">E4-F4</f>
        <v>0</v>
      </c>
      <c r="H4" s="14"/>
      <c r="J4" s="30"/>
      <c r="K4" s="68" t="s">
        <v>118</v>
      </c>
      <c r="L4" s="30"/>
      <c r="M4" s="30" t="s">
        <v>154</v>
      </c>
      <c r="N4" s="30"/>
      <c r="O4" s="30"/>
    </row>
    <row r="5" spans="1:15">
      <c r="A5" s="14"/>
      <c r="B5" s="113" t="str">
        <f>Weaponeering!$B$44</f>
        <v>GBU-10</v>
      </c>
      <c r="C5" s="97">
        <f>Weaponeering!C44</f>
        <v>1.7</v>
      </c>
      <c r="D5" s="63">
        <f>Weaponeering!E44</f>
        <v>3</v>
      </c>
      <c r="E5" s="64">
        <f>Weaponeering!D44</f>
        <v>2</v>
      </c>
      <c r="F5" s="62">
        <v>2</v>
      </c>
      <c r="G5" s="63">
        <f t="shared" si="0"/>
        <v>0</v>
      </c>
      <c r="H5" s="14"/>
      <c r="J5" s="30"/>
      <c r="K5" s="30"/>
      <c r="L5" s="30"/>
      <c r="M5" s="30"/>
      <c r="N5" s="30"/>
      <c r="O5" s="30"/>
    </row>
    <row r="6" spans="1:15">
      <c r="A6" s="14"/>
      <c r="B6" s="113" t="str">
        <f>Weaponeering!B45</f>
        <v>Mk 83</v>
      </c>
      <c r="C6" s="97">
        <f>Weaponeering!C45</f>
        <v>0.3</v>
      </c>
      <c r="D6" s="63">
        <f>Weaponeering!E45</f>
        <v>2</v>
      </c>
      <c r="E6" s="64">
        <f>Weaponeering!D45</f>
        <v>4</v>
      </c>
      <c r="F6" s="62">
        <v>4</v>
      </c>
      <c r="G6" s="63">
        <f t="shared" si="0"/>
        <v>0</v>
      </c>
      <c r="H6" s="14"/>
      <c r="J6" s="30"/>
      <c r="K6" s="72" t="str">
        <f>Weaponeering!$B$4</f>
        <v>Disguised Baby Milk Factory</v>
      </c>
      <c r="L6" s="30"/>
      <c r="M6" s="30"/>
      <c r="N6" s="30"/>
      <c r="O6" s="30"/>
    </row>
    <row r="7" spans="1:15">
      <c r="A7" s="14"/>
      <c r="B7" s="113">
        <f>Weaponeering!B46</f>
        <v>0</v>
      </c>
      <c r="C7" s="97">
        <f>Weaponeering!C46</f>
        <v>0</v>
      </c>
      <c r="D7" s="63">
        <f>Weaponeering!E46</f>
        <v>0</v>
      </c>
      <c r="E7" s="64">
        <f>Weaponeering!D46</f>
        <v>0</v>
      </c>
      <c r="F7" s="62"/>
      <c r="G7" s="63">
        <f t="shared" si="0"/>
        <v>0</v>
      </c>
      <c r="H7" s="14"/>
      <c r="J7" s="30"/>
      <c r="K7" s="30" t="s">
        <v>121</v>
      </c>
      <c r="L7" s="62">
        <v>-2</v>
      </c>
      <c r="M7" s="30"/>
      <c r="N7" s="30"/>
      <c r="O7" s="30"/>
    </row>
    <row r="8" spans="1:15">
      <c r="A8" s="14"/>
      <c r="B8" s="113">
        <f>Weaponeering!B47</f>
        <v>0</v>
      </c>
      <c r="C8" s="97">
        <f>Weaponeering!C47</f>
        <v>0</v>
      </c>
      <c r="D8" s="63">
        <f>Weaponeering!E47</f>
        <v>0</v>
      </c>
      <c r="E8" s="64">
        <f>Weaponeering!D47</f>
        <v>0</v>
      </c>
      <c r="F8" s="62"/>
      <c r="G8" s="63">
        <f t="shared" si="0"/>
        <v>0</v>
      </c>
      <c r="H8" s="14"/>
      <c r="J8" s="30"/>
      <c r="K8" s="30" t="str">
        <f>IF(K3&gt;M3,"Insufficient ordnance loaded to kill this target","Sufficient ordnance loaded to kill this target")</f>
        <v>Sufficient ordnance loaded to kill this target</v>
      </c>
      <c r="L8" s="30"/>
      <c r="M8" s="30"/>
      <c r="N8" s="30"/>
      <c r="O8" s="30"/>
    </row>
    <row r="9" spans="1:15">
      <c r="A9" s="14"/>
      <c r="B9" s="113">
        <f>Weaponeering!B48</f>
        <v>0</v>
      </c>
      <c r="C9" s="97">
        <f>Weaponeering!C48</f>
        <v>0</v>
      </c>
      <c r="D9" s="63">
        <f>Weaponeering!E48</f>
        <v>0</v>
      </c>
      <c r="E9" s="64">
        <f>Weaponeering!D48</f>
        <v>0</v>
      </c>
      <c r="F9" s="62"/>
      <c r="G9" s="63">
        <f t="shared" si="0"/>
        <v>0</v>
      </c>
      <c r="H9" s="14"/>
    </row>
    <row r="10" spans="1:15" ht="23">
      <c r="A10" s="14"/>
      <c r="B10" s="14"/>
      <c r="C10" s="14"/>
      <c r="D10" s="14"/>
      <c r="E10" s="14"/>
      <c r="F10" s="14"/>
      <c r="G10" s="14"/>
      <c r="H10" s="14"/>
      <c r="J10" s="73"/>
      <c r="K10" s="98" t="s">
        <v>157</v>
      </c>
      <c r="L10" s="73"/>
      <c r="M10" s="73"/>
      <c r="N10" s="73"/>
      <c r="O10" s="73"/>
    </row>
    <row r="11" spans="1:15">
      <c r="A11" s="14"/>
      <c r="B11" s="92" t="s">
        <v>155</v>
      </c>
      <c r="C11" s="14">
        <f>Weaponeering!$C$53</f>
        <v>26</v>
      </c>
      <c r="D11" s="14"/>
      <c r="E11" s="14"/>
      <c r="F11" s="14"/>
      <c r="G11" s="14"/>
      <c r="H11" s="14"/>
      <c r="J11" s="73"/>
      <c r="K11" s="73" t="s">
        <v>158</v>
      </c>
      <c r="L11" s="73"/>
      <c r="M11" s="73"/>
      <c r="N11" s="73">
        <f>H36+H63+H90+H117+H144+H171+H198+H225</f>
        <v>5.7</v>
      </c>
      <c r="O11" s="73"/>
    </row>
    <row r="12" spans="1:15">
      <c r="A12" s="14"/>
      <c r="B12" s="92" t="s">
        <v>156</v>
      </c>
      <c r="C12" s="14">
        <f>H17+H44+H71+H98+H125+H152+H179+H206</f>
        <v>1</v>
      </c>
      <c r="D12" s="13" t="str">
        <f>IF(C12&lt;0,"&lt;&lt; One or more aircraft is overloaded"," ")</f>
        <v xml:space="preserve"> </v>
      </c>
      <c r="E12" s="14"/>
      <c r="F12" s="14"/>
      <c r="G12" s="14"/>
      <c r="H12" s="14"/>
      <c r="J12" s="73"/>
      <c r="K12" s="73" t="s">
        <v>193</v>
      </c>
      <c r="L12" s="73"/>
      <c r="M12" s="73"/>
      <c r="N12" s="185">
        <f>'Enemy Air'!$C$23</f>
        <v>3.88</v>
      </c>
      <c r="O12" s="73"/>
    </row>
    <row r="13" spans="1:15">
      <c r="A13" s="14"/>
      <c r="B13" s="92"/>
      <c r="C13" s="14"/>
      <c r="D13" s="14"/>
      <c r="E13" s="14"/>
      <c r="F13" s="14"/>
      <c r="G13" s="14"/>
      <c r="H13" s="14"/>
    </row>
    <row r="15" spans="1:15">
      <c r="A15" s="74"/>
      <c r="B15" s="74"/>
      <c r="C15" s="74"/>
      <c r="D15" s="74"/>
      <c r="E15" s="74"/>
      <c r="F15" s="74"/>
      <c r="G15" s="74"/>
      <c r="H15" s="74"/>
      <c r="I15" s="74"/>
    </row>
    <row r="16" spans="1:15" ht="23">
      <c r="A16" s="74"/>
      <c r="B16" s="76" t="s">
        <v>122</v>
      </c>
      <c r="C16" s="74"/>
      <c r="D16" s="74"/>
      <c r="E16" s="74"/>
      <c r="F16" s="74"/>
      <c r="G16" s="74"/>
      <c r="H16" s="74"/>
      <c r="I16" s="74"/>
    </row>
    <row r="17" spans="1:9">
      <c r="A17" s="74"/>
      <c r="B17" s="61" t="s">
        <v>227</v>
      </c>
      <c r="C17" s="74"/>
      <c r="D17" s="61" t="s">
        <v>127</v>
      </c>
      <c r="E17" s="74"/>
      <c r="F17" s="61">
        <v>12</v>
      </c>
      <c r="G17" s="74"/>
      <c r="H17" s="90">
        <f>IF(F17=0,0,(F17+L7-(E23*D23)-(E24*D24)-(E25*D25)-(E26*D26)-(E27*D27)-(E28*D28)-(E32*D32)-(E33*D33)-(E34*D34)-(E35*D35)-(E36*D36)))</f>
        <v>1</v>
      </c>
      <c r="I17" s="74"/>
    </row>
    <row r="18" spans="1:9">
      <c r="A18" s="74"/>
      <c r="B18" s="74" t="s">
        <v>123</v>
      </c>
      <c r="C18" s="74"/>
      <c r="D18" s="74" t="s">
        <v>22</v>
      </c>
      <c r="E18" s="74"/>
      <c r="F18" s="74" t="s">
        <v>124</v>
      </c>
      <c r="G18" s="74"/>
      <c r="H18" s="74" t="s">
        <v>125</v>
      </c>
      <c r="I18" s="74"/>
    </row>
    <row r="19" spans="1:9">
      <c r="A19" s="74"/>
      <c r="B19" s="74"/>
      <c r="C19" s="74"/>
      <c r="D19" s="74"/>
      <c r="E19" s="74"/>
      <c r="F19" s="74"/>
      <c r="G19" s="74"/>
      <c r="H19" s="74"/>
      <c r="I19" s="74"/>
    </row>
    <row r="20" spans="1:9">
      <c r="A20" s="74"/>
      <c r="B20" s="61" t="s">
        <v>228</v>
      </c>
      <c r="C20" s="74"/>
      <c r="D20" s="61" t="s">
        <v>129</v>
      </c>
      <c r="E20" s="74"/>
      <c r="F20" s="61">
        <v>3</v>
      </c>
      <c r="G20" s="74"/>
      <c r="H20" s="61">
        <v>0</v>
      </c>
      <c r="I20" s="74"/>
    </row>
    <row r="21" spans="1:9">
      <c r="A21" s="74"/>
      <c r="B21" s="74" t="s">
        <v>153</v>
      </c>
      <c r="C21" s="74"/>
      <c r="D21" s="74" t="s">
        <v>128</v>
      </c>
      <c r="E21" s="74"/>
      <c r="F21" s="74" t="s">
        <v>126</v>
      </c>
      <c r="G21" s="74"/>
      <c r="H21" s="74" t="s">
        <v>140</v>
      </c>
      <c r="I21" s="74"/>
    </row>
    <row r="22" spans="1:9" ht="60">
      <c r="A22" s="74"/>
      <c r="B22" s="78" t="s">
        <v>132</v>
      </c>
      <c r="C22" s="79" t="s">
        <v>206</v>
      </c>
      <c r="D22" s="79" t="s">
        <v>29</v>
      </c>
      <c r="E22" s="79" t="s">
        <v>23</v>
      </c>
      <c r="F22" s="74"/>
      <c r="G22" s="74"/>
      <c r="H22" s="74"/>
      <c r="I22" s="74"/>
    </row>
    <row r="23" spans="1:9">
      <c r="A23" s="74"/>
      <c r="B23" s="77" t="s">
        <v>57</v>
      </c>
      <c r="C23" s="77">
        <v>1.7</v>
      </c>
      <c r="D23" s="77">
        <v>3</v>
      </c>
      <c r="E23" s="77">
        <v>2</v>
      </c>
      <c r="F23" s="74"/>
      <c r="G23" s="80" t="s">
        <v>131</v>
      </c>
      <c r="H23" s="74">
        <f>(C23*E23)+(C24*E24)+(C25*E25)+(C26*E26)+(C27*E27)+(C28*E28)</f>
        <v>3.4</v>
      </c>
      <c r="I23" s="74"/>
    </row>
    <row r="24" spans="1:9">
      <c r="A24" s="74"/>
      <c r="B24" s="77" t="s">
        <v>202</v>
      </c>
      <c r="C24" s="77">
        <v>0</v>
      </c>
      <c r="D24" s="77">
        <v>1</v>
      </c>
      <c r="E24" s="77">
        <v>2</v>
      </c>
      <c r="F24" s="74"/>
      <c r="G24" s="80" t="s">
        <v>130</v>
      </c>
      <c r="H24" s="81">
        <f>(10+F20)/10</f>
        <v>1.3</v>
      </c>
      <c r="I24" s="74"/>
    </row>
    <row r="25" spans="1:9">
      <c r="A25" s="74"/>
      <c r="B25" s="77"/>
      <c r="C25" s="77"/>
      <c r="D25" s="77"/>
      <c r="E25" s="77"/>
      <c r="F25" s="75"/>
      <c r="G25" s="82" t="s">
        <v>120</v>
      </c>
      <c r="H25" s="83">
        <f>H23*H24</f>
        <v>4.42</v>
      </c>
      <c r="I25" s="74"/>
    </row>
    <row r="26" spans="1:9">
      <c r="A26" s="74"/>
      <c r="B26" s="77"/>
      <c r="C26" s="77"/>
      <c r="D26" s="77"/>
      <c r="E26" s="77"/>
      <c r="F26" s="74"/>
      <c r="G26" s="74"/>
      <c r="H26" s="74"/>
      <c r="I26" s="74"/>
    </row>
    <row r="27" spans="1:9">
      <c r="A27" s="74"/>
      <c r="B27" s="77"/>
      <c r="C27" s="77"/>
      <c r="D27" s="77"/>
      <c r="E27" s="77"/>
      <c r="F27" s="74"/>
      <c r="G27" s="74"/>
      <c r="H27" s="74"/>
      <c r="I27" s="74"/>
    </row>
    <row r="28" spans="1:9">
      <c r="A28" s="74"/>
      <c r="B28" s="77"/>
      <c r="C28" s="77"/>
      <c r="D28" s="77"/>
      <c r="E28" s="77"/>
      <c r="F28" s="74"/>
      <c r="G28" s="74"/>
      <c r="H28" s="74"/>
      <c r="I28" s="74"/>
    </row>
    <row r="29" spans="1:9">
      <c r="A29" s="74"/>
      <c r="B29" s="201" t="s">
        <v>207</v>
      </c>
      <c r="C29" s="196"/>
      <c r="D29" s="196"/>
      <c r="E29" s="196"/>
      <c r="F29" s="74"/>
      <c r="G29" s="74"/>
      <c r="H29" s="74"/>
      <c r="I29" s="74"/>
    </row>
    <row r="30" spans="1:9">
      <c r="A30" s="74"/>
      <c r="B30" s="74"/>
      <c r="C30" s="74"/>
      <c r="D30" s="74"/>
      <c r="E30" s="74"/>
      <c r="F30" s="74"/>
      <c r="G30" s="74"/>
      <c r="H30" s="74"/>
      <c r="I30" s="74"/>
    </row>
    <row r="31" spans="1:9" ht="30">
      <c r="A31" s="74"/>
      <c r="B31" s="78" t="s">
        <v>133</v>
      </c>
      <c r="C31" s="79" t="s">
        <v>208</v>
      </c>
      <c r="D31" s="79" t="s">
        <v>29</v>
      </c>
      <c r="E31" s="79" t="s">
        <v>23</v>
      </c>
      <c r="F31" s="74"/>
      <c r="G31" s="80" t="s">
        <v>144</v>
      </c>
      <c r="H31" s="74">
        <f>(E32*C32)+(E33*C33)+(E34*C34)+(E35*C35)</f>
        <v>0</v>
      </c>
      <c r="I31" s="74"/>
    </row>
    <row r="32" spans="1:9">
      <c r="A32" s="74"/>
      <c r="B32" s="74" t="s">
        <v>134</v>
      </c>
      <c r="C32" s="74">
        <v>0.5</v>
      </c>
      <c r="D32" s="74">
        <v>1</v>
      </c>
      <c r="E32" s="62"/>
      <c r="F32" s="74"/>
      <c r="G32" s="80" t="s">
        <v>139</v>
      </c>
      <c r="H32" s="74">
        <f>((E23*D23)-(E24*D24)-(E25*D25)-(E26*D26)-(E27*D27)-(E28*D28))</f>
        <v>4</v>
      </c>
      <c r="I32" s="74"/>
    </row>
    <row r="33" spans="1:9">
      <c r="A33" s="74"/>
      <c r="B33" s="74" t="s">
        <v>135</v>
      </c>
      <c r="C33" s="74">
        <v>0.5</v>
      </c>
      <c r="D33" s="74">
        <v>1</v>
      </c>
      <c r="E33" s="62"/>
      <c r="F33" s="74"/>
      <c r="G33" s="80" t="s">
        <v>141</v>
      </c>
      <c r="H33" s="74">
        <f>IF(H32&gt;4,-3,IF(H32&gt;3,-2,IF(H32&gt;2,-1,0)))</f>
        <v>-2</v>
      </c>
      <c r="I33" s="74"/>
    </row>
    <row r="34" spans="1:9">
      <c r="A34" s="74"/>
      <c r="B34" s="74" t="s">
        <v>138</v>
      </c>
      <c r="C34" s="74">
        <v>0.5</v>
      </c>
      <c r="D34" s="74">
        <v>1</v>
      </c>
      <c r="E34" s="62"/>
      <c r="F34" s="74"/>
      <c r="G34" s="80" t="s">
        <v>143</v>
      </c>
      <c r="H34" s="86">
        <f>H20</f>
        <v>0</v>
      </c>
      <c r="I34" s="74"/>
    </row>
    <row r="35" spans="1:9">
      <c r="A35" s="84"/>
      <c r="B35" s="84" t="s">
        <v>136</v>
      </c>
      <c r="C35" s="84">
        <v>0.6</v>
      </c>
      <c r="D35" s="84">
        <v>1</v>
      </c>
      <c r="E35" s="77"/>
      <c r="F35" s="84"/>
      <c r="G35" s="85" t="s">
        <v>142</v>
      </c>
      <c r="H35" s="99">
        <f>(10+H33+H20)/10</f>
        <v>0.8</v>
      </c>
      <c r="I35" s="84"/>
    </row>
    <row r="36" spans="1:9">
      <c r="A36" s="84"/>
      <c r="B36" s="84" t="s">
        <v>137</v>
      </c>
      <c r="C36" s="84"/>
      <c r="D36" s="84">
        <v>1</v>
      </c>
      <c r="E36" s="77">
        <v>1</v>
      </c>
      <c r="F36" s="84"/>
      <c r="G36" s="88" t="s">
        <v>145</v>
      </c>
      <c r="H36" s="87">
        <f>H31*H35</f>
        <v>0</v>
      </c>
      <c r="I36" s="84"/>
    </row>
    <row r="37" spans="1:9">
      <c r="A37" s="84"/>
      <c r="B37" s="198" t="s">
        <v>210</v>
      </c>
      <c r="C37" s="84"/>
      <c r="D37" s="84"/>
      <c r="E37" s="84"/>
      <c r="F37" s="84"/>
      <c r="G37" s="84"/>
      <c r="H37" s="84"/>
      <c r="I37" s="84"/>
    </row>
    <row r="38" spans="1:9">
      <c r="A38" s="84"/>
      <c r="B38" s="91" t="str">
        <f>IF(H17&lt;0,"WARNING:  aircraft overloaded"," ")</f>
        <v xml:space="preserve"> </v>
      </c>
      <c r="C38" s="84"/>
      <c r="D38" s="84"/>
      <c r="E38" s="84"/>
      <c r="F38" s="84"/>
      <c r="G38" s="84"/>
      <c r="H38" s="84"/>
      <c r="I38" s="84"/>
    </row>
    <row r="39" spans="1:9">
      <c r="A39" s="84"/>
      <c r="B39" s="84"/>
      <c r="C39" s="84"/>
      <c r="D39" s="84"/>
      <c r="E39" s="84"/>
      <c r="F39" s="84"/>
      <c r="G39" s="84"/>
      <c r="H39" s="84"/>
      <c r="I39" s="84"/>
    </row>
    <row r="40" spans="1:9">
      <c r="A40" s="84"/>
      <c r="B40" s="84"/>
      <c r="C40" s="84"/>
      <c r="D40" s="84"/>
      <c r="E40" s="84"/>
      <c r="F40" s="84"/>
      <c r="G40" s="84"/>
      <c r="H40" s="84"/>
      <c r="I40" s="84"/>
    </row>
    <row r="42" spans="1:9">
      <c r="A42" s="74"/>
      <c r="B42" s="74"/>
      <c r="C42" s="74"/>
      <c r="D42" s="74"/>
      <c r="E42" s="74"/>
      <c r="F42" s="74"/>
      <c r="G42" s="74"/>
      <c r="H42" s="74"/>
      <c r="I42" s="74"/>
    </row>
    <row r="43" spans="1:9" ht="23">
      <c r="A43" s="74"/>
      <c r="B43" s="76" t="s">
        <v>146</v>
      </c>
      <c r="C43" s="74"/>
      <c r="D43" s="74"/>
      <c r="E43" s="74"/>
      <c r="F43" s="74"/>
      <c r="G43" s="74"/>
      <c r="H43" s="74"/>
      <c r="I43" s="74"/>
    </row>
    <row r="44" spans="1:9">
      <c r="A44" s="74"/>
      <c r="B44" s="61" t="s">
        <v>229</v>
      </c>
      <c r="C44" s="74"/>
      <c r="D44" s="61" t="s">
        <v>230</v>
      </c>
      <c r="E44" s="74"/>
      <c r="F44" s="61">
        <v>7</v>
      </c>
      <c r="G44" s="74"/>
      <c r="H44" s="90">
        <f>IF(F44=0,0,(F44+L7-(E50*D50)-(E51*D51)-(E52*D52)-(E53*D53)-(E54*D54)-(E55*D55)-(E59*D59)-(E60*D60)-(E61*D61)-(E62*D62)-(E63*D63)))</f>
        <v>0</v>
      </c>
      <c r="I44" s="74"/>
    </row>
    <row r="45" spans="1:9">
      <c r="A45" s="74"/>
      <c r="B45" s="74" t="s">
        <v>123</v>
      </c>
      <c r="C45" s="74"/>
      <c r="D45" s="74" t="s">
        <v>22</v>
      </c>
      <c r="E45" s="74"/>
      <c r="F45" s="74" t="s">
        <v>124</v>
      </c>
      <c r="G45" s="74"/>
      <c r="H45" s="74" t="s">
        <v>125</v>
      </c>
      <c r="I45" s="74"/>
    </row>
    <row r="46" spans="1:9">
      <c r="A46" s="74"/>
      <c r="B46" s="74"/>
      <c r="C46" s="74"/>
      <c r="D46" s="74"/>
      <c r="E46" s="74"/>
      <c r="F46" s="74"/>
      <c r="G46" s="74"/>
      <c r="H46" s="74"/>
      <c r="I46" s="74"/>
    </row>
    <row r="47" spans="1:9">
      <c r="A47" s="74"/>
      <c r="B47" s="61" t="s">
        <v>231</v>
      </c>
      <c r="C47" s="74"/>
      <c r="D47" s="61" t="s">
        <v>129</v>
      </c>
      <c r="E47" s="74"/>
      <c r="F47" s="61">
        <v>0</v>
      </c>
      <c r="G47" s="74"/>
      <c r="H47" s="61">
        <v>-3</v>
      </c>
      <c r="I47" s="74"/>
    </row>
    <row r="48" spans="1:9">
      <c r="A48" s="74"/>
      <c r="B48" s="74" t="s">
        <v>153</v>
      </c>
      <c r="C48" s="74"/>
      <c r="D48" s="74" t="s">
        <v>128</v>
      </c>
      <c r="E48" s="74"/>
      <c r="F48" s="74" t="s">
        <v>126</v>
      </c>
      <c r="G48" s="74"/>
      <c r="H48" s="74" t="s">
        <v>140</v>
      </c>
      <c r="I48" s="74"/>
    </row>
    <row r="49" spans="1:9" ht="60">
      <c r="A49" s="74"/>
      <c r="B49" s="78" t="s">
        <v>132</v>
      </c>
      <c r="C49" s="79" t="s">
        <v>206</v>
      </c>
      <c r="D49" s="79" t="s">
        <v>29</v>
      </c>
      <c r="E49" s="79" t="s">
        <v>23</v>
      </c>
      <c r="F49" s="74"/>
      <c r="G49" s="74"/>
      <c r="H49" s="74"/>
      <c r="I49" s="74"/>
    </row>
    <row r="50" spans="1:9">
      <c r="A50" s="74"/>
      <c r="B50" s="77" t="s">
        <v>28</v>
      </c>
      <c r="C50" s="77">
        <v>0.7</v>
      </c>
      <c r="D50" s="77">
        <v>3</v>
      </c>
      <c r="E50" s="77">
        <v>1</v>
      </c>
      <c r="F50" s="74"/>
      <c r="G50" s="80" t="s">
        <v>131</v>
      </c>
      <c r="H50" s="74">
        <f>(C50*E50)+(C51*E51)+(C52*E52)+(C53*E53)+(C54*E54)+(C55*E55)</f>
        <v>1</v>
      </c>
      <c r="I50" s="74"/>
    </row>
    <row r="51" spans="1:9">
      <c r="A51" s="74"/>
      <c r="B51" s="77" t="s">
        <v>42</v>
      </c>
      <c r="C51" s="77">
        <v>0.3</v>
      </c>
      <c r="D51" s="77">
        <v>2</v>
      </c>
      <c r="E51" s="77">
        <v>1</v>
      </c>
      <c r="F51" s="74"/>
      <c r="G51" s="80" t="s">
        <v>130</v>
      </c>
      <c r="H51" s="81">
        <f>(10+F47)/10</f>
        <v>1</v>
      </c>
      <c r="I51" s="74"/>
    </row>
    <row r="52" spans="1:9">
      <c r="A52" s="74"/>
      <c r="B52" s="77"/>
      <c r="C52" s="77"/>
      <c r="D52" s="77"/>
      <c r="E52" s="77"/>
      <c r="F52" s="75"/>
      <c r="G52" s="82" t="s">
        <v>120</v>
      </c>
      <c r="H52" s="83">
        <f>H50*H51</f>
        <v>1</v>
      </c>
      <c r="I52" s="74"/>
    </row>
    <row r="53" spans="1:9">
      <c r="A53" s="74"/>
      <c r="B53" s="77"/>
      <c r="C53" s="77"/>
      <c r="D53" s="77"/>
      <c r="E53" s="77"/>
      <c r="F53" s="74"/>
      <c r="G53" s="74"/>
      <c r="H53" s="74"/>
      <c r="I53" s="74"/>
    </row>
    <row r="54" spans="1:9">
      <c r="A54" s="74"/>
      <c r="B54" s="77"/>
      <c r="C54" s="77"/>
      <c r="D54" s="77"/>
      <c r="E54" s="77"/>
      <c r="F54" s="74"/>
      <c r="G54" s="74"/>
      <c r="H54" s="74"/>
      <c r="I54" s="74"/>
    </row>
    <row r="55" spans="1:9">
      <c r="A55" s="74"/>
      <c r="B55" s="77"/>
      <c r="C55" s="77"/>
      <c r="D55" s="77"/>
      <c r="E55" s="77"/>
      <c r="F55" s="74"/>
      <c r="G55" s="74"/>
      <c r="H55" s="74"/>
      <c r="I55" s="74"/>
    </row>
    <row r="56" spans="1:9">
      <c r="A56" s="74"/>
      <c r="B56" s="200" t="s">
        <v>207</v>
      </c>
      <c r="C56" s="196"/>
      <c r="D56" s="196"/>
      <c r="E56" s="196"/>
      <c r="F56" s="74"/>
      <c r="G56" s="74"/>
      <c r="H56" s="74"/>
      <c r="I56" s="74"/>
    </row>
    <row r="57" spans="1:9">
      <c r="A57" s="74"/>
      <c r="B57" s="74"/>
      <c r="C57" s="74"/>
      <c r="D57" s="74"/>
      <c r="E57" s="74"/>
      <c r="F57" s="74"/>
      <c r="G57" s="74"/>
      <c r="H57" s="74"/>
      <c r="I57" s="74"/>
    </row>
    <row r="58" spans="1:9" ht="30">
      <c r="A58" s="74"/>
      <c r="B58" s="78" t="s">
        <v>133</v>
      </c>
      <c r="C58" s="79" t="s">
        <v>209</v>
      </c>
      <c r="D58" s="79" t="s">
        <v>29</v>
      </c>
      <c r="E58" s="79" t="s">
        <v>23</v>
      </c>
      <c r="F58" s="74"/>
      <c r="G58" s="80" t="s">
        <v>144</v>
      </c>
      <c r="H58" s="74">
        <f>(E59*C59)+(E60*C60)+(E61*C61)+(E62*C62)</f>
        <v>0</v>
      </c>
      <c r="I58" s="74"/>
    </row>
    <row r="59" spans="1:9">
      <c r="A59" s="74"/>
      <c r="B59" s="74" t="s">
        <v>134</v>
      </c>
      <c r="C59" s="74">
        <v>0.5</v>
      </c>
      <c r="D59" s="74">
        <v>1</v>
      </c>
      <c r="E59" s="62"/>
      <c r="F59" s="74"/>
      <c r="G59" s="80" t="s">
        <v>139</v>
      </c>
      <c r="H59" s="74">
        <f>((E50*D50)-(E51*D51)-(E52*D52)-(E53*D53)-(E54*D54)-(E55*D55))</f>
        <v>1</v>
      </c>
      <c r="I59" s="74"/>
    </row>
    <row r="60" spans="1:9">
      <c r="A60" s="74"/>
      <c r="B60" s="74" t="s">
        <v>135</v>
      </c>
      <c r="C60" s="74">
        <v>0.5</v>
      </c>
      <c r="D60" s="74">
        <v>1</v>
      </c>
      <c r="E60" s="62"/>
      <c r="F60" s="74"/>
      <c r="G60" s="80" t="s">
        <v>141</v>
      </c>
      <c r="H60" s="74">
        <f>IF(H59&gt;4,-3,IF(H59&gt;3,-2,IF(H59&gt;2,-1,0)))</f>
        <v>0</v>
      </c>
      <c r="I60" s="74"/>
    </row>
    <row r="61" spans="1:9">
      <c r="A61" s="74"/>
      <c r="B61" s="74" t="s">
        <v>138</v>
      </c>
      <c r="C61" s="74">
        <v>0.5</v>
      </c>
      <c r="D61" s="74">
        <v>1</v>
      </c>
      <c r="E61" s="62"/>
      <c r="F61" s="74"/>
      <c r="G61" s="80" t="s">
        <v>143</v>
      </c>
      <c r="H61" s="86">
        <f>H47</f>
        <v>-3</v>
      </c>
      <c r="I61" s="74"/>
    </row>
    <row r="62" spans="1:9">
      <c r="A62" s="84"/>
      <c r="B62" s="84" t="s">
        <v>136</v>
      </c>
      <c r="C62" s="84">
        <v>0.6</v>
      </c>
      <c r="D62" s="84">
        <v>1</v>
      </c>
      <c r="E62" s="77"/>
      <c r="F62" s="84"/>
      <c r="G62" s="85" t="s">
        <v>142</v>
      </c>
      <c r="H62" s="99">
        <f>(10+H60+H47)/10</f>
        <v>0.7</v>
      </c>
      <c r="I62" s="84"/>
    </row>
    <row r="63" spans="1:9">
      <c r="A63" s="84"/>
      <c r="B63" s="84" t="s">
        <v>137</v>
      </c>
      <c r="C63" s="84"/>
      <c r="D63" s="84">
        <v>1</v>
      </c>
      <c r="E63" s="77"/>
      <c r="F63" s="84"/>
      <c r="G63" s="88" t="s">
        <v>145</v>
      </c>
      <c r="H63" s="87">
        <f>H58*H62</f>
        <v>0</v>
      </c>
      <c r="I63" s="84"/>
    </row>
    <row r="64" spans="1:9">
      <c r="A64" s="84"/>
      <c r="B64" s="199" t="s">
        <v>210</v>
      </c>
      <c r="C64" s="84"/>
      <c r="D64" s="84"/>
      <c r="E64" s="84"/>
      <c r="F64" s="84"/>
      <c r="G64" s="84"/>
      <c r="H64" s="84"/>
      <c r="I64" s="84"/>
    </row>
    <row r="65" spans="1:9">
      <c r="A65" s="84"/>
      <c r="B65" s="91" t="str">
        <f>IF(H44&lt;0,"WARNING:  aircraft overloaded"," ")</f>
        <v xml:space="preserve"> </v>
      </c>
      <c r="C65" s="84"/>
      <c r="D65" s="84"/>
      <c r="E65" s="84"/>
      <c r="F65" s="84"/>
      <c r="G65" s="84"/>
      <c r="H65" s="84"/>
      <c r="I65" s="84"/>
    </row>
    <row r="66" spans="1:9">
      <c r="A66" s="84"/>
      <c r="B66" s="84"/>
      <c r="C66" s="84"/>
      <c r="D66" s="84"/>
      <c r="E66" s="84"/>
      <c r="F66" s="84"/>
      <c r="G66" s="84"/>
      <c r="H66" s="84"/>
      <c r="I66" s="84"/>
    </row>
    <row r="67" spans="1:9">
      <c r="A67" s="84"/>
      <c r="B67" s="84"/>
      <c r="C67" s="84"/>
      <c r="D67" s="84"/>
      <c r="E67" s="84"/>
      <c r="F67" s="84"/>
      <c r="G67" s="84"/>
      <c r="H67" s="84"/>
      <c r="I67" s="84"/>
    </row>
    <row r="69" spans="1:9">
      <c r="A69" s="74"/>
      <c r="B69" s="74"/>
      <c r="C69" s="74"/>
      <c r="D69" s="74"/>
      <c r="E69" s="74"/>
      <c r="F69" s="74"/>
      <c r="G69" s="74"/>
      <c r="H69" s="74"/>
      <c r="I69" s="74"/>
    </row>
    <row r="70" spans="1:9" ht="23">
      <c r="A70" s="74"/>
      <c r="B70" s="76" t="s">
        <v>147</v>
      </c>
      <c r="C70" s="74"/>
      <c r="D70" s="74"/>
      <c r="E70" s="74"/>
      <c r="F70" s="74"/>
      <c r="G70" s="74"/>
      <c r="H70" s="74"/>
      <c r="I70" s="74"/>
    </row>
    <row r="71" spans="1:9">
      <c r="A71" s="74"/>
      <c r="B71" s="61" t="s">
        <v>232</v>
      </c>
      <c r="C71" s="74"/>
      <c r="D71" s="61" t="s">
        <v>230</v>
      </c>
      <c r="E71" s="74"/>
      <c r="F71" s="61">
        <v>7</v>
      </c>
      <c r="G71" s="74"/>
      <c r="H71" s="90">
        <f>IF(F71=0,0,(F71+L7-(E77*D77)-(E78*D78)-(E79*D79)-(E80*D80)-(E81*D81)-(E82*D82)-(E86*D86)-(E87*D87)-(E88*D88)-(E89*D89)-(E90*D90)))</f>
        <v>0</v>
      </c>
      <c r="I71" s="74"/>
    </row>
    <row r="72" spans="1:9">
      <c r="A72" s="74"/>
      <c r="B72" s="74" t="s">
        <v>123</v>
      </c>
      <c r="C72" s="74"/>
      <c r="D72" s="74" t="s">
        <v>22</v>
      </c>
      <c r="E72" s="74"/>
      <c r="F72" s="74" t="s">
        <v>124</v>
      </c>
      <c r="G72" s="74"/>
      <c r="H72" s="74" t="s">
        <v>125</v>
      </c>
      <c r="I72" s="74"/>
    </row>
    <row r="73" spans="1:9">
      <c r="A73" s="74"/>
      <c r="B73" s="74"/>
      <c r="C73" s="74"/>
      <c r="D73" s="74"/>
      <c r="E73" s="74"/>
      <c r="F73" s="74"/>
      <c r="G73" s="74"/>
      <c r="H73" s="74"/>
      <c r="I73" s="74"/>
    </row>
    <row r="74" spans="1:9">
      <c r="A74" s="74"/>
      <c r="B74" s="61" t="s">
        <v>231</v>
      </c>
      <c r="C74" s="74"/>
      <c r="D74" s="61" t="s">
        <v>129</v>
      </c>
      <c r="E74" s="74"/>
      <c r="F74" s="61">
        <v>-2</v>
      </c>
      <c r="G74" s="74"/>
      <c r="H74" s="61">
        <v>-2</v>
      </c>
      <c r="I74" s="74"/>
    </row>
    <row r="75" spans="1:9">
      <c r="A75" s="74"/>
      <c r="B75" s="74" t="s">
        <v>153</v>
      </c>
      <c r="C75" s="74"/>
      <c r="D75" s="74" t="s">
        <v>128</v>
      </c>
      <c r="E75" s="74"/>
      <c r="F75" s="74" t="s">
        <v>126</v>
      </c>
      <c r="G75" s="74"/>
      <c r="H75" s="74" t="s">
        <v>140</v>
      </c>
      <c r="I75" s="74"/>
    </row>
    <row r="76" spans="1:9" ht="60">
      <c r="A76" s="74"/>
      <c r="B76" s="78" t="s">
        <v>132</v>
      </c>
      <c r="C76" s="79" t="s">
        <v>206</v>
      </c>
      <c r="D76" s="79" t="s">
        <v>29</v>
      </c>
      <c r="E76" s="79" t="s">
        <v>23</v>
      </c>
      <c r="F76" s="74"/>
      <c r="G76" s="74"/>
      <c r="H76" s="74"/>
      <c r="I76" s="74"/>
    </row>
    <row r="77" spans="1:9">
      <c r="A77" s="74"/>
      <c r="B77" s="77" t="s">
        <v>28</v>
      </c>
      <c r="C77" s="77">
        <v>0.7</v>
      </c>
      <c r="D77" s="77">
        <v>3</v>
      </c>
      <c r="E77" s="77">
        <v>1</v>
      </c>
      <c r="F77" s="74"/>
      <c r="G77" s="80" t="s">
        <v>131</v>
      </c>
      <c r="H77" s="74">
        <f>(C77*E77)+(C78*E78)+(C79*E79)+(C80*E80)+(C81*E81)+(C82*E82)</f>
        <v>1</v>
      </c>
      <c r="I77" s="74"/>
    </row>
    <row r="78" spans="1:9">
      <c r="A78" s="74"/>
      <c r="B78" s="77" t="s">
        <v>42</v>
      </c>
      <c r="C78" s="77">
        <v>0.3</v>
      </c>
      <c r="D78" s="77">
        <v>2</v>
      </c>
      <c r="E78" s="77">
        <v>1</v>
      </c>
      <c r="F78" s="74"/>
      <c r="G78" s="80" t="s">
        <v>130</v>
      </c>
      <c r="H78" s="81">
        <f>(10+F74)/10</f>
        <v>0.8</v>
      </c>
      <c r="I78" s="74"/>
    </row>
    <row r="79" spans="1:9">
      <c r="A79" s="74"/>
      <c r="B79" s="77"/>
      <c r="C79" s="77"/>
      <c r="D79" s="77"/>
      <c r="E79" s="77"/>
      <c r="F79" s="75"/>
      <c r="G79" s="82" t="s">
        <v>120</v>
      </c>
      <c r="H79" s="83">
        <f>H77*H78</f>
        <v>0.8</v>
      </c>
      <c r="I79" s="74"/>
    </row>
    <row r="80" spans="1:9">
      <c r="A80" s="74"/>
      <c r="B80" s="77"/>
      <c r="C80" s="77"/>
      <c r="D80" s="77"/>
      <c r="E80" s="77"/>
      <c r="F80" s="74"/>
      <c r="G80" s="74"/>
      <c r="H80" s="74"/>
      <c r="I80" s="74"/>
    </row>
    <row r="81" spans="1:9">
      <c r="A81" s="74"/>
      <c r="B81" s="77"/>
      <c r="C81" s="77"/>
      <c r="D81" s="77"/>
      <c r="E81" s="77"/>
      <c r="F81" s="74"/>
      <c r="G81" s="74"/>
      <c r="H81" s="74"/>
      <c r="I81" s="74"/>
    </row>
    <row r="82" spans="1:9">
      <c r="A82" s="74"/>
      <c r="B82" s="77"/>
      <c r="C82" s="77"/>
      <c r="D82" s="77"/>
      <c r="E82" s="77"/>
      <c r="F82" s="74"/>
      <c r="G82" s="74"/>
      <c r="H82" s="74"/>
      <c r="I82" s="74"/>
    </row>
    <row r="83" spans="1:9">
      <c r="A83" s="74"/>
      <c r="B83" s="198" t="s">
        <v>207</v>
      </c>
      <c r="C83" s="196"/>
      <c r="D83" s="196"/>
      <c r="E83" s="196"/>
      <c r="F83" s="74"/>
      <c r="G83" s="74"/>
      <c r="H83" s="74"/>
      <c r="I83" s="74"/>
    </row>
    <row r="84" spans="1:9">
      <c r="A84" s="74"/>
      <c r="B84" s="74"/>
      <c r="C84" s="74"/>
      <c r="D84" s="74"/>
      <c r="E84" s="74"/>
      <c r="F84" s="74"/>
      <c r="G84" s="74"/>
      <c r="H84" s="74"/>
      <c r="I84" s="74"/>
    </row>
    <row r="85" spans="1:9" ht="30">
      <c r="A85" s="74"/>
      <c r="B85" s="78" t="s">
        <v>133</v>
      </c>
      <c r="C85" s="79" t="s">
        <v>209</v>
      </c>
      <c r="D85" s="79" t="s">
        <v>29</v>
      </c>
      <c r="E85" s="79" t="s">
        <v>23</v>
      </c>
      <c r="F85" s="74"/>
      <c r="G85" s="80" t="s">
        <v>144</v>
      </c>
      <c r="H85" s="74">
        <f>(E86*C86)+(E87*C87)+(E88*C88)+(E89*C89)</f>
        <v>0</v>
      </c>
      <c r="I85" s="74"/>
    </row>
    <row r="86" spans="1:9">
      <c r="A86" s="74"/>
      <c r="B86" s="74" t="s">
        <v>134</v>
      </c>
      <c r="C86" s="74">
        <v>0.5</v>
      </c>
      <c r="D86" s="74">
        <v>1</v>
      </c>
      <c r="E86" s="62"/>
      <c r="F86" s="74"/>
      <c r="G86" s="80" t="s">
        <v>139</v>
      </c>
      <c r="H86" s="74">
        <f>((E77*D77)-(E78*D78)-(E79*D79)-(E80*D80)-(E81*D81)-(E82*D82))</f>
        <v>1</v>
      </c>
      <c r="I86" s="74"/>
    </row>
    <row r="87" spans="1:9">
      <c r="A87" s="74"/>
      <c r="B87" s="74" t="s">
        <v>135</v>
      </c>
      <c r="C87" s="74">
        <v>0.5</v>
      </c>
      <c r="D87" s="74">
        <v>1</v>
      </c>
      <c r="E87" s="62"/>
      <c r="F87" s="74"/>
      <c r="G87" s="80" t="s">
        <v>141</v>
      </c>
      <c r="H87" s="74">
        <f>IF(H86&gt;4,-3,IF(H86&gt;3,-2,IF(H86&gt;2,-1,0)))</f>
        <v>0</v>
      </c>
      <c r="I87" s="74"/>
    </row>
    <row r="88" spans="1:9">
      <c r="A88" s="74"/>
      <c r="B88" s="74" t="s">
        <v>138</v>
      </c>
      <c r="C88" s="74">
        <v>0.5</v>
      </c>
      <c r="D88" s="74">
        <v>1</v>
      </c>
      <c r="E88" s="62"/>
      <c r="F88" s="74"/>
      <c r="G88" s="80" t="s">
        <v>143</v>
      </c>
      <c r="H88" s="86">
        <f>H74</f>
        <v>-2</v>
      </c>
      <c r="I88" s="74"/>
    </row>
    <row r="89" spans="1:9">
      <c r="A89" s="84"/>
      <c r="B89" s="84" t="s">
        <v>136</v>
      </c>
      <c r="C89" s="84">
        <v>0.6</v>
      </c>
      <c r="D89" s="84">
        <v>1</v>
      </c>
      <c r="E89" s="77"/>
      <c r="F89" s="84"/>
      <c r="G89" s="85" t="s">
        <v>142</v>
      </c>
      <c r="H89" s="99">
        <f>(10+H87+H74)/10</f>
        <v>0.8</v>
      </c>
      <c r="I89" s="84"/>
    </row>
    <row r="90" spans="1:9">
      <c r="A90" s="84"/>
      <c r="B90" s="84" t="s">
        <v>137</v>
      </c>
      <c r="C90" s="84"/>
      <c r="D90" s="84">
        <v>1</v>
      </c>
      <c r="E90" s="77"/>
      <c r="F90" s="84"/>
      <c r="G90" s="88" t="s">
        <v>145</v>
      </c>
      <c r="H90" s="87">
        <f>H85*H89</f>
        <v>0</v>
      </c>
      <c r="I90" s="84"/>
    </row>
    <row r="91" spans="1:9">
      <c r="A91" s="84"/>
      <c r="B91" s="198" t="s">
        <v>210</v>
      </c>
      <c r="C91" s="84"/>
      <c r="D91" s="84"/>
      <c r="E91" s="84"/>
      <c r="F91" s="84"/>
      <c r="G91" s="84"/>
      <c r="H91" s="84"/>
      <c r="I91" s="84"/>
    </row>
    <row r="92" spans="1:9">
      <c r="A92" s="84"/>
      <c r="B92" s="91" t="str">
        <f>IF(H71&lt;0,"WARNING:  aircraft overloaded"," ")</f>
        <v xml:space="preserve"> </v>
      </c>
      <c r="C92" s="84"/>
      <c r="D92" s="84"/>
      <c r="E92" s="84"/>
      <c r="F92" s="84"/>
      <c r="G92" s="84"/>
      <c r="H92" s="84"/>
      <c r="I92" s="84"/>
    </row>
    <row r="93" spans="1:9">
      <c r="A93" s="84"/>
      <c r="B93" s="84"/>
      <c r="C93" s="84"/>
      <c r="D93" s="84"/>
      <c r="E93" s="84"/>
      <c r="F93" s="84"/>
      <c r="G93" s="84"/>
      <c r="H93" s="84"/>
      <c r="I93" s="84"/>
    </row>
    <row r="94" spans="1:9">
      <c r="A94" s="84"/>
      <c r="B94" s="84"/>
      <c r="C94" s="84"/>
      <c r="D94" s="84"/>
      <c r="E94" s="84"/>
      <c r="F94" s="84"/>
      <c r="G94" s="84"/>
      <c r="H94" s="84"/>
      <c r="I94" s="84"/>
    </row>
    <row r="96" spans="1:9">
      <c r="A96" s="74"/>
      <c r="B96" s="74"/>
      <c r="C96" s="74"/>
      <c r="D96" s="74"/>
      <c r="E96" s="74"/>
      <c r="F96" s="74"/>
      <c r="G96" s="74"/>
      <c r="H96" s="74"/>
      <c r="I96" s="74"/>
    </row>
    <row r="97" spans="1:9" ht="23">
      <c r="A97" s="74"/>
      <c r="B97" s="76" t="s">
        <v>148</v>
      </c>
      <c r="C97" s="74"/>
      <c r="D97" s="74"/>
      <c r="E97" s="74"/>
      <c r="F97" s="74"/>
      <c r="G97" s="74"/>
      <c r="H97" s="74"/>
      <c r="I97" s="74"/>
    </row>
    <row r="98" spans="1:9">
      <c r="A98" s="74"/>
      <c r="B98" s="61" t="s">
        <v>233</v>
      </c>
      <c r="C98" s="74"/>
      <c r="D98" s="61" t="s">
        <v>127</v>
      </c>
      <c r="E98" s="74"/>
      <c r="F98" s="61">
        <v>12</v>
      </c>
      <c r="G98" s="74"/>
      <c r="H98" s="90">
        <f>IF(F98=0,0,(F98+L7-(E104*D104)-(E105*D105)-(E106*D106)-(E107*D107)-(E108*D108)-(E109*D109)-(E113*D113)-(E114*D114)-(E115*D115)-(E116*D116)-(E117*D117)))</f>
        <v>0</v>
      </c>
      <c r="I98" s="74"/>
    </row>
    <row r="99" spans="1:9">
      <c r="A99" s="74"/>
      <c r="B99" s="74" t="s">
        <v>123</v>
      </c>
      <c r="C99" s="74"/>
      <c r="D99" s="74" t="s">
        <v>22</v>
      </c>
      <c r="E99" s="74"/>
      <c r="F99" s="74" t="s">
        <v>124</v>
      </c>
      <c r="G99" s="74"/>
      <c r="H99" s="74" t="s">
        <v>125</v>
      </c>
      <c r="I99" s="74"/>
    </row>
    <row r="100" spans="1:9">
      <c r="A100" s="74"/>
      <c r="B100" s="74"/>
      <c r="C100" s="74"/>
      <c r="D100" s="74"/>
      <c r="E100" s="74"/>
      <c r="F100" s="74"/>
      <c r="G100" s="74"/>
      <c r="H100" s="74"/>
      <c r="I100" s="74"/>
    </row>
    <row r="101" spans="1:9">
      <c r="A101" s="74"/>
      <c r="B101" s="61" t="s">
        <v>231</v>
      </c>
      <c r="C101" s="74"/>
      <c r="D101" s="61" t="s">
        <v>234</v>
      </c>
      <c r="E101" s="74"/>
      <c r="F101" s="61">
        <v>-3</v>
      </c>
      <c r="G101" s="74"/>
      <c r="H101" s="61">
        <v>0</v>
      </c>
      <c r="I101" s="74"/>
    </row>
    <row r="102" spans="1:9">
      <c r="A102" s="74"/>
      <c r="B102" s="74" t="s">
        <v>153</v>
      </c>
      <c r="C102" s="74"/>
      <c r="D102" s="74" t="s">
        <v>128</v>
      </c>
      <c r="E102" s="74"/>
      <c r="F102" s="74" t="s">
        <v>126</v>
      </c>
      <c r="G102" s="74"/>
      <c r="H102" s="74" t="s">
        <v>140</v>
      </c>
      <c r="I102" s="74"/>
    </row>
    <row r="103" spans="1:9" ht="60">
      <c r="A103" s="74"/>
      <c r="B103" s="78" t="s">
        <v>132</v>
      </c>
      <c r="C103" s="79" t="s">
        <v>206</v>
      </c>
      <c r="D103" s="79" t="s">
        <v>29</v>
      </c>
      <c r="E103" s="79" t="s">
        <v>23</v>
      </c>
      <c r="F103" s="74"/>
      <c r="G103" s="74"/>
      <c r="H103" s="74"/>
      <c r="I103" s="74"/>
    </row>
    <row r="104" spans="1:9">
      <c r="A104" s="74"/>
      <c r="B104" s="77" t="s">
        <v>28</v>
      </c>
      <c r="C104" s="77">
        <v>0.7</v>
      </c>
      <c r="D104" s="77">
        <v>3</v>
      </c>
      <c r="E104" s="77">
        <v>2</v>
      </c>
      <c r="F104" s="74"/>
      <c r="G104" s="80" t="s">
        <v>131</v>
      </c>
      <c r="H104" s="74">
        <f>(C104*E104)+(C105*E105)+(C106*E106)+(C107*E107)+(C108*E108)+(C109*E109)</f>
        <v>2</v>
      </c>
      <c r="I104" s="74"/>
    </row>
    <row r="105" spans="1:9">
      <c r="A105" s="74"/>
      <c r="B105" s="77" t="s">
        <v>42</v>
      </c>
      <c r="C105" s="77">
        <v>0.3</v>
      </c>
      <c r="D105" s="77">
        <v>2</v>
      </c>
      <c r="E105" s="77">
        <v>2</v>
      </c>
      <c r="F105" s="74"/>
      <c r="G105" s="80" t="s">
        <v>130</v>
      </c>
      <c r="H105" s="81">
        <f>(10+F101)/10</f>
        <v>0.7</v>
      </c>
      <c r="I105" s="74"/>
    </row>
    <row r="106" spans="1:9">
      <c r="A106" s="74"/>
      <c r="B106" s="77"/>
      <c r="C106" s="77"/>
      <c r="D106" s="77"/>
      <c r="E106" s="77"/>
      <c r="F106" s="75"/>
      <c r="G106" s="82" t="s">
        <v>120</v>
      </c>
      <c r="H106" s="83">
        <f>H104*H105</f>
        <v>1.4</v>
      </c>
      <c r="I106" s="74"/>
    </row>
    <row r="107" spans="1:9">
      <c r="A107" s="74"/>
      <c r="B107" s="77"/>
      <c r="C107" s="77"/>
      <c r="D107" s="77"/>
      <c r="E107" s="77"/>
      <c r="F107" s="74"/>
      <c r="G107" s="74"/>
      <c r="H107" s="74"/>
      <c r="I107" s="74"/>
    </row>
    <row r="108" spans="1:9">
      <c r="A108" s="74"/>
      <c r="B108" s="77"/>
      <c r="C108" s="77"/>
      <c r="D108" s="77"/>
      <c r="E108" s="77"/>
      <c r="F108" s="74"/>
      <c r="G108" s="74"/>
      <c r="H108" s="74"/>
      <c r="I108" s="74"/>
    </row>
    <row r="109" spans="1:9">
      <c r="A109" s="74"/>
      <c r="B109" s="77"/>
      <c r="C109" s="77"/>
      <c r="D109" s="77"/>
      <c r="E109" s="77"/>
      <c r="F109" s="74"/>
      <c r="G109" s="74"/>
      <c r="H109" s="74"/>
      <c r="I109" s="74"/>
    </row>
    <row r="110" spans="1:9">
      <c r="A110" s="74"/>
      <c r="B110" s="198" t="s">
        <v>207</v>
      </c>
      <c r="C110" s="196"/>
      <c r="D110" s="196"/>
      <c r="E110" s="196"/>
      <c r="F110" s="74"/>
      <c r="G110" s="74"/>
      <c r="H110" s="74"/>
      <c r="I110" s="74"/>
    </row>
    <row r="111" spans="1:9">
      <c r="A111" s="74"/>
      <c r="B111" s="74"/>
      <c r="C111" s="74"/>
      <c r="D111" s="74"/>
      <c r="E111" s="74"/>
      <c r="F111" s="74"/>
      <c r="G111" s="74"/>
      <c r="H111" s="74"/>
      <c r="I111" s="74"/>
    </row>
    <row r="112" spans="1:9" ht="30">
      <c r="A112" s="74"/>
      <c r="B112" s="78" t="s">
        <v>133</v>
      </c>
      <c r="C112" s="79" t="s">
        <v>209</v>
      </c>
      <c r="D112" s="79" t="s">
        <v>29</v>
      </c>
      <c r="E112" s="79" t="s">
        <v>23</v>
      </c>
      <c r="F112" s="74"/>
      <c r="G112" s="80" t="s">
        <v>144</v>
      </c>
      <c r="H112" s="74">
        <f>(E113*C113)+(E114*C114)+(E115*C115)+(E116*C116)</f>
        <v>0</v>
      </c>
      <c r="I112" s="74"/>
    </row>
    <row r="113" spans="1:9">
      <c r="A113" s="74"/>
      <c r="B113" s="74" t="s">
        <v>134</v>
      </c>
      <c r="C113" s="74">
        <v>0.5</v>
      </c>
      <c r="D113" s="74">
        <v>1</v>
      </c>
      <c r="E113" s="62"/>
      <c r="F113" s="74"/>
      <c r="G113" s="80" t="s">
        <v>139</v>
      </c>
      <c r="H113" s="74">
        <f>((E104*D104)-(E105*D105)-(E106*D106)-(E107*D107)-(E108*D108)-(E109*D109))</f>
        <v>2</v>
      </c>
      <c r="I113" s="74"/>
    </row>
    <row r="114" spans="1:9">
      <c r="A114" s="74"/>
      <c r="B114" s="74" t="s">
        <v>135</v>
      </c>
      <c r="C114" s="74">
        <v>0.5</v>
      </c>
      <c r="D114" s="74">
        <v>1</v>
      </c>
      <c r="E114" s="62"/>
      <c r="F114" s="74"/>
      <c r="G114" s="80" t="s">
        <v>141</v>
      </c>
      <c r="H114" s="74">
        <f>IF(H113&gt;4,-3,IF(H113&gt;3,-2,IF(H113&gt;2,-1,0)))</f>
        <v>0</v>
      </c>
      <c r="I114" s="74"/>
    </row>
    <row r="115" spans="1:9">
      <c r="A115" s="74"/>
      <c r="B115" s="74" t="s">
        <v>138</v>
      </c>
      <c r="C115" s="74">
        <v>0.5</v>
      </c>
      <c r="D115" s="74">
        <v>1</v>
      </c>
      <c r="E115" s="62"/>
      <c r="F115" s="74"/>
      <c r="G115" s="80" t="s">
        <v>143</v>
      </c>
      <c r="H115" s="86">
        <f>H101</f>
        <v>0</v>
      </c>
      <c r="I115" s="74"/>
    </row>
    <row r="116" spans="1:9">
      <c r="A116" s="84"/>
      <c r="B116" s="84" t="s">
        <v>136</v>
      </c>
      <c r="C116" s="84">
        <v>0.6</v>
      </c>
      <c r="D116" s="84">
        <v>1</v>
      </c>
      <c r="E116" s="77"/>
      <c r="F116" s="84"/>
      <c r="G116" s="85" t="s">
        <v>142</v>
      </c>
      <c r="H116" s="99">
        <f>(10+H114+H101)/10</f>
        <v>1</v>
      </c>
      <c r="I116" s="84"/>
    </row>
    <row r="117" spans="1:9">
      <c r="A117" s="84"/>
      <c r="B117" s="84" t="s">
        <v>137</v>
      </c>
      <c r="C117" s="84"/>
      <c r="D117" s="84">
        <v>1</v>
      </c>
      <c r="E117" s="77"/>
      <c r="F117" s="84"/>
      <c r="G117" s="88" t="s">
        <v>145</v>
      </c>
      <c r="H117" s="87">
        <f>H112*H116</f>
        <v>0</v>
      </c>
      <c r="I117" s="84"/>
    </row>
    <row r="118" spans="1:9">
      <c r="A118" s="84"/>
      <c r="B118" s="198" t="s">
        <v>210</v>
      </c>
      <c r="C118" s="84"/>
      <c r="D118" s="84"/>
      <c r="E118" s="84"/>
      <c r="F118" s="84"/>
      <c r="G118" s="84"/>
      <c r="H118" s="84"/>
      <c r="I118" s="84"/>
    </row>
    <row r="119" spans="1:9">
      <c r="A119" s="84"/>
      <c r="B119" s="91" t="str">
        <f>IF(H98&lt;0,"WARNING:  aircraft overloaded"," ")</f>
        <v xml:space="preserve"> </v>
      </c>
      <c r="C119" s="84"/>
      <c r="D119" s="84"/>
      <c r="E119" s="84"/>
      <c r="F119" s="84"/>
      <c r="G119" s="84"/>
      <c r="H119" s="84"/>
      <c r="I119" s="84"/>
    </row>
    <row r="120" spans="1:9">
      <c r="A120" s="84"/>
      <c r="B120" s="84"/>
      <c r="C120" s="84"/>
      <c r="D120" s="84"/>
      <c r="E120" s="84"/>
      <c r="F120" s="84"/>
      <c r="G120" s="84"/>
      <c r="H120" s="84"/>
      <c r="I120" s="84"/>
    </row>
    <row r="121" spans="1:9">
      <c r="A121" s="84"/>
      <c r="B121" s="84"/>
      <c r="C121" s="84"/>
      <c r="D121" s="84"/>
      <c r="E121" s="84"/>
      <c r="F121" s="84"/>
      <c r="G121" s="84"/>
      <c r="H121" s="84"/>
      <c r="I121" s="84"/>
    </row>
    <row r="123" spans="1:9">
      <c r="A123" s="74"/>
      <c r="B123" s="74"/>
      <c r="C123" s="74"/>
      <c r="D123" s="74"/>
      <c r="E123" s="74"/>
      <c r="F123" s="74"/>
      <c r="G123" s="74"/>
      <c r="H123" s="74"/>
      <c r="I123" s="74"/>
    </row>
    <row r="124" spans="1:9" ht="23">
      <c r="A124" s="74"/>
      <c r="B124" s="76" t="s">
        <v>149</v>
      </c>
      <c r="C124" s="74"/>
      <c r="D124" s="74"/>
      <c r="E124" s="74"/>
      <c r="F124" s="74"/>
      <c r="G124" s="74"/>
      <c r="H124" s="74"/>
      <c r="I124" s="74"/>
    </row>
    <row r="125" spans="1:9">
      <c r="A125" s="74"/>
      <c r="B125" s="61" t="s">
        <v>235</v>
      </c>
      <c r="C125" s="74"/>
      <c r="D125" s="61" t="s">
        <v>159</v>
      </c>
      <c r="E125" s="74"/>
      <c r="F125" s="61">
        <v>8</v>
      </c>
      <c r="G125" s="74"/>
      <c r="H125" s="90">
        <f>IF(F125=0,0,(F125+L7-(E131*D131)-(E132*D132)-(E133*D133)-(E134*D134)-(E135*D135)-(E136*D136)-(E140*D140)-(E141*D141)-(E142*D142)-(E143*D143)-(E144*D144)))</f>
        <v>0</v>
      </c>
      <c r="I125" s="74"/>
    </row>
    <row r="126" spans="1:9">
      <c r="A126" s="74"/>
      <c r="B126" s="74" t="s">
        <v>123</v>
      </c>
      <c r="C126" s="74"/>
      <c r="D126" s="74" t="s">
        <v>22</v>
      </c>
      <c r="E126" s="74"/>
      <c r="F126" s="74" t="s">
        <v>124</v>
      </c>
      <c r="G126" s="74"/>
      <c r="H126" s="74" t="s">
        <v>125</v>
      </c>
      <c r="I126" s="74"/>
    </row>
    <row r="127" spans="1:9">
      <c r="A127" s="74"/>
      <c r="B127" s="74"/>
      <c r="C127" s="74"/>
      <c r="D127" s="74"/>
      <c r="E127" s="74"/>
      <c r="F127" s="74"/>
      <c r="G127" s="74"/>
      <c r="H127" s="74"/>
      <c r="I127" s="74"/>
    </row>
    <row r="128" spans="1:9">
      <c r="A128" s="74"/>
      <c r="B128" s="61" t="s">
        <v>236</v>
      </c>
      <c r="C128" s="74"/>
      <c r="D128" s="61" t="s">
        <v>129</v>
      </c>
      <c r="E128" s="74"/>
      <c r="F128" s="61">
        <v>-2</v>
      </c>
      <c r="G128" s="74"/>
      <c r="H128" s="61">
        <v>-1</v>
      </c>
      <c r="I128" s="74"/>
    </row>
    <row r="129" spans="1:9">
      <c r="A129" s="74"/>
      <c r="B129" s="74" t="s">
        <v>153</v>
      </c>
      <c r="C129" s="74"/>
      <c r="D129" s="74" t="s">
        <v>128</v>
      </c>
      <c r="E129" s="74"/>
      <c r="F129" s="74" t="s">
        <v>126</v>
      </c>
      <c r="G129" s="74"/>
      <c r="H129" s="74" t="s">
        <v>140</v>
      </c>
      <c r="I129" s="74"/>
    </row>
    <row r="130" spans="1:9" ht="60">
      <c r="A130" s="74"/>
      <c r="B130" s="78" t="s">
        <v>132</v>
      </c>
      <c r="C130" s="79" t="s">
        <v>206</v>
      </c>
      <c r="D130" s="79" t="s">
        <v>29</v>
      </c>
      <c r="E130" s="79" t="s">
        <v>23</v>
      </c>
      <c r="F130" s="74"/>
      <c r="G130" s="74"/>
      <c r="H130" s="74"/>
      <c r="I130" s="74"/>
    </row>
    <row r="131" spans="1:9">
      <c r="A131" s="74"/>
      <c r="B131" s="77"/>
      <c r="C131" s="77"/>
      <c r="D131" s="77"/>
      <c r="E131" s="77"/>
      <c r="F131" s="74"/>
      <c r="G131" s="80" t="s">
        <v>131</v>
      </c>
      <c r="H131" s="74">
        <f>(C131*E131)+(C132*E132)+(C133*E133)+(C134*E134)+(C135*E135)+(C136*E136)</f>
        <v>0</v>
      </c>
      <c r="I131" s="74"/>
    </row>
    <row r="132" spans="1:9">
      <c r="A132" s="74"/>
      <c r="B132" s="77"/>
      <c r="C132" s="77"/>
      <c r="D132" s="77"/>
      <c r="E132" s="77"/>
      <c r="F132" s="74"/>
      <c r="G132" s="80" t="s">
        <v>130</v>
      </c>
      <c r="H132" s="81">
        <f>(10+F128)/10</f>
        <v>0.8</v>
      </c>
      <c r="I132" s="74"/>
    </row>
    <row r="133" spans="1:9">
      <c r="A133" s="74"/>
      <c r="B133" s="77"/>
      <c r="C133" s="77"/>
      <c r="D133" s="77"/>
      <c r="E133" s="77"/>
      <c r="F133" s="75"/>
      <c r="G133" s="82" t="s">
        <v>120</v>
      </c>
      <c r="H133" s="83">
        <f>H131*H132</f>
        <v>0</v>
      </c>
      <c r="I133" s="74"/>
    </row>
    <row r="134" spans="1:9">
      <c r="A134" s="74"/>
      <c r="B134" s="77"/>
      <c r="C134" s="77"/>
      <c r="D134" s="77"/>
      <c r="E134" s="77"/>
      <c r="F134" s="74"/>
      <c r="G134" s="74"/>
      <c r="H134" s="74"/>
      <c r="I134" s="74"/>
    </row>
    <row r="135" spans="1:9">
      <c r="A135" s="74"/>
      <c r="B135" s="77"/>
      <c r="C135" s="77"/>
      <c r="D135" s="77"/>
      <c r="E135" s="77"/>
      <c r="F135" s="74"/>
      <c r="G135" s="74"/>
      <c r="H135" s="74"/>
      <c r="I135" s="74"/>
    </row>
    <row r="136" spans="1:9">
      <c r="A136" s="74"/>
      <c r="B136" s="77"/>
      <c r="C136" s="77"/>
      <c r="D136" s="77"/>
      <c r="E136" s="77"/>
      <c r="F136" s="74"/>
      <c r="G136" s="74"/>
      <c r="H136" s="74"/>
      <c r="I136" s="74"/>
    </row>
    <row r="137" spans="1:9">
      <c r="A137" s="74"/>
      <c r="B137" s="198" t="s">
        <v>207</v>
      </c>
      <c r="C137" s="196"/>
      <c r="D137" s="196"/>
      <c r="E137" s="196"/>
      <c r="F137" s="74"/>
      <c r="G137" s="74"/>
      <c r="H137" s="74"/>
      <c r="I137" s="74"/>
    </row>
    <row r="138" spans="1:9">
      <c r="A138" s="74"/>
      <c r="B138" s="74"/>
      <c r="C138" s="74"/>
      <c r="D138" s="74"/>
      <c r="E138" s="74"/>
      <c r="F138" s="74"/>
      <c r="G138" s="74"/>
      <c r="H138" s="74"/>
      <c r="I138" s="74"/>
    </row>
    <row r="139" spans="1:9" ht="30">
      <c r="A139" s="74"/>
      <c r="B139" s="78" t="s">
        <v>133</v>
      </c>
      <c r="C139" s="79" t="s">
        <v>209</v>
      </c>
      <c r="D139" s="79" t="s">
        <v>29</v>
      </c>
      <c r="E139" s="79" t="s">
        <v>23</v>
      </c>
      <c r="F139" s="74"/>
      <c r="G139" s="80" t="s">
        <v>144</v>
      </c>
      <c r="H139" s="74">
        <f>(E140*C140)+(E141*C141)+(E142*C142)+(E143*C143)</f>
        <v>3</v>
      </c>
      <c r="I139" s="74"/>
    </row>
    <row r="140" spans="1:9">
      <c r="A140" s="74"/>
      <c r="B140" s="74" t="s">
        <v>134</v>
      </c>
      <c r="C140" s="74">
        <v>0.5</v>
      </c>
      <c r="D140" s="74">
        <v>1</v>
      </c>
      <c r="E140" s="62">
        <v>2</v>
      </c>
      <c r="F140" s="74"/>
      <c r="G140" s="80" t="s">
        <v>139</v>
      </c>
      <c r="H140" s="74">
        <f>((E131*D131)-(E132*D132)-(E133*D133)-(E134*D134)-(E135*D135)-(E136*D136))</f>
        <v>0</v>
      </c>
      <c r="I140" s="74"/>
    </row>
    <row r="141" spans="1:9">
      <c r="A141" s="74"/>
      <c r="B141" s="74" t="s">
        <v>135</v>
      </c>
      <c r="C141" s="74">
        <v>0.5</v>
      </c>
      <c r="D141" s="74">
        <v>1</v>
      </c>
      <c r="E141" s="62">
        <v>4</v>
      </c>
      <c r="F141" s="74"/>
      <c r="G141" s="80" t="s">
        <v>141</v>
      </c>
      <c r="H141" s="74">
        <f>IF(H140&gt;4,-3,IF(H140&gt;3,-2,IF(H140&gt;2,-1,0)))</f>
        <v>0</v>
      </c>
      <c r="I141" s="74"/>
    </row>
    <row r="142" spans="1:9">
      <c r="A142" s="74"/>
      <c r="B142" s="74" t="s">
        <v>138</v>
      </c>
      <c r="C142" s="74">
        <v>0.5</v>
      </c>
      <c r="D142" s="74">
        <v>1</v>
      </c>
      <c r="E142" s="62"/>
      <c r="F142" s="74"/>
      <c r="G142" s="80" t="s">
        <v>143</v>
      </c>
      <c r="H142" s="86">
        <f>H128</f>
        <v>-1</v>
      </c>
      <c r="I142" s="74"/>
    </row>
    <row r="143" spans="1:9">
      <c r="A143" s="84"/>
      <c r="B143" s="84" t="s">
        <v>136</v>
      </c>
      <c r="C143" s="84">
        <v>0.6</v>
      </c>
      <c r="D143" s="84">
        <v>1</v>
      </c>
      <c r="E143" s="77"/>
      <c r="F143" s="84"/>
      <c r="G143" s="85" t="s">
        <v>142</v>
      </c>
      <c r="H143" s="99">
        <f>(10+H141+H128)/10</f>
        <v>0.9</v>
      </c>
      <c r="I143" s="84"/>
    </row>
    <row r="144" spans="1:9">
      <c r="A144" s="84"/>
      <c r="B144" s="84" t="s">
        <v>137</v>
      </c>
      <c r="C144" s="84"/>
      <c r="D144" s="84">
        <v>1</v>
      </c>
      <c r="E144" s="77"/>
      <c r="F144" s="84"/>
      <c r="G144" s="88" t="s">
        <v>145</v>
      </c>
      <c r="H144" s="87">
        <f>H139*H143</f>
        <v>2.7</v>
      </c>
      <c r="I144" s="84"/>
    </row>
    <row r="145" spans="1:9">
      <c r="A145" s="84"/>
      <c r="B145" s="198" t="s">
        <v>210</v>
      </c>
      <c r="C145" s="84"/>
      <c r="D145" s="84"/>
      <c r="E145" s="84"/>
      <c r="F145" s="84"/>
      <c r="G145" s="84"/>
      <c r="H145" s="84"/>
      <c r="I145" s="84"/>
    </row>
    <row r="146" spans="1:9">
      <c r="A146" s="84"/>
      <c r="B146" s="91" t="str">
        <f>IF(H125&lt;0,"WARNING:  aircraft overloaded"," ")</f>
        <v xml:space="preserve"> </v>
      </c>
      <c r="C146" s="84"/>
      <c r="D146" s="84"/>
      <c r="E146" s="84"/>
      <c r="F146" s="84"/>
      <c r="G146" s="84"/>
      <c r="H146" s="84"/>
      <c r="I146" s="84"/>
    </row>
    <row r="147" spans="1:9">
      <c r="A147" s="84"/>
      <c r="B147" s="84"/>
      <c r="C147" s="84"/>
      <c r="D147" s="84"/>
      <c r="E147" s="84"/>
      <c r="F147" s="84"/>
      <c r="G147" s="84"/>
      <c r="H147" s="84"/>
      <c r="I147" s="84"/>
    </row>
    <row r="148" spans="1:9">
      <c r="A148" s="84"/>
      <c r="B148" s="84"/>
      <c r="C148" s="84"/>
      <c r="D148" s="84"/>
      <c r="E148" s="84"/>
      <c r="F148" s="84"/>
      <c r="G148" s="84"/>
      <c r="H148" s="84"/>
      <c r="I148" s="84"/>
    </row>
    <row r="150" spans="1:9">
      <c r="A150" s="74"/>
      <c r="B150" s="74"/>
      <c r="C150" s="74"/>
      <c r="D150" s="74"/>
      <c r="E150" s="74"/>
      <c r="F150" s="74"/>
      <c r="G150" s="74"/>
      <c r="H150" s="74"/>
      <c r="I150" s="74"/>
    </row>
    <row r="151" spans="1:9" ht="23">
      <c r="A151" s="74"/>
      <c r="B151" s="76" t="s">
        <v>150</v>
      </c>
      <c r="C151" s="74"/>
      <c r="D151" s="74"/>
      <c r="E151" s="74"/>
      <c r="F151" s="74"/>
      <c r="G151" s="74"/>
      <c r="H151" s="74"/>
      <c r="I151" s="74"/>
    </row>
    <row r="152" spans="1:9">
      <c r="A152" s="74"/>
      <c r="B152" s="61" t="s">
        <v>237</v>
      </c>
      <c r="C152" s="74"/>
      <c r="D152" s="61" t="s">
        <v>159</v>
      </c>
      <c r="E152" s="74"/>
      <c r="F152" s="61">
        <v>8</v>
      </c>
      <c r="G152" s="74"/>
      <c r="H152" s="90">
        <f>IF(F152=0,0,(F152+L7-(E158*D158)-(E159*D159)-(E160*D160)-(E161*D161)-(E162*D162)-(E163*D163)-(E167*D167)-(E168*D168)-(E169*D169)-(E170*D170)-(E171*D171)))</f>
        <v>0</v>
      </c>
      <c r="I152" s="74"/>
    </row>
    <row r="153" spans="1:9">
      <c r="A153" s="74"/>
      <c r="B153" s="74" t="s">
        <v>123</v>
      </c>
      <c r="C153" s="74"/>
      <c r="D153" s="74" t="s">
        <v>22</v>
      </c>
      <c r="E153" s="74"/>
      <c r="F153" s="74" t="s">
        <v>124</v>
      </c>
      <c r="G153" s="74"/>
      <c r="H153" s="74" t="s">
        <v>125</v>
      </c>
      <c r="I153" s="74"/>
    </row>
    <row r="154" spans="1:9">
      <c r="A154" s="74"/>
      <c r="B154" s="74"/>
      <c r="C154" s="74"/>
      <c r="D154" s="74"/>
      <c r="E154" s="74"/>
      <c r="F154" s="74"/>
      <c r="G154" s="74"/>
      <c r="H154" s="74"/>
      <c r="I154" s="74"/>
    </row>
    <row r="155" spans="1:9">
      <c r="A155" s="74"/>
      <c r="B155" s="61" t="s">
        <v>238</v>
      </c>
      <c r="C155" s="74"/>
      <c r="D155" s="61" t="s">
        <v>129</v>
      </c>
      <c r="E155" s="74"/>
      <c r="F155" s="61">
        <v>0</v>
      </c>
      <c r="G155" s="74"/>
      <c r="H155" s="61">
        <v>0</v>
      </c>
      <c r="I155" s="74"/>
    </row>
    <row r="156" spans="1:9">
      <c r="A156" s="74"/>
      <c r="B156" s="74" t="s">
        <v>153</v>
      </c>
      <c r="C156" s="74"/>
      <c r="D156" s="74" t="s">
        <v>128</v>
      </c>
      <c r="E156" s="74"/>
      <c r="F156" s="74" t="s">
        <v>126</v>
      </c>
      <c r="G156" s="74"/>
      <c r="H156" s="74" t="s">
        <v>140</v>
      </c>
      <c r="I156" s="74"/>
    </row>
    <row r="157" spans="1:9" ht="60">
      <c r="A157" s="74"/>
      <c r="B157" s="78" t="s">
        <v>132</v>
      </c>
      <c r="C157" s="79" t="s">
        <v>206</v>
      </c>
      <c r="D157" s="79" t="s">
        <v>29</v>
      </c>
      <c r="E157" s="79" t="s">
        <v>23</v>
      </c>
      <c r="F157" s="74"/>
      <c r="G157" s="74"/>
      <c r="H157" s="74"/>
      <c r="I157" s="74"/>
    </row>
    <row r="158" spans="1:9">
      <c r="A158" s="74"/>
      <c r="B158" s="77"/>
      <c r="C158" s="77"/>
      <c r="D158" s="77"/>
      <c r="E158" s="77"/>
      <c r="F158" s="74"/>
      <c r="G158" s="80" t="s">
        <v>131</v>
      </c>
      <c r="H158" s="74">
        <f>(C158*E158)+(C159*E159)+(C160*E160)+(C161*E161)+(C162*E162)+(C163*E163)</f>
        <v>0</v>
      </c>
      <c r="I158" s="74"/>
    </row>
    <row r="159" spans="1:9">
      <c r="A159" s="74"/>
      <c r="B159" s="77"/>
      <c r="C159" s="77"/>
      <c r="D159" s="77"/>
      <c r="E159" s="77"/>
      <c r="F159" s="74"/>
      <c r="G159" s="80" t="s">
        <v>130</v>
      </c>
      <c r="H159" s="81">
        <f>(10+F155)/10</f>
        <v>1</v>
      </c>
      <c r="I159" s="74"/>
    </row>
    <row r="160" spans="1:9">
      <c r="A160" s="74"/>
      <c r="B160" s="77"/>
      <c r="C160" s="77"/>
      <c r="D160" s="77"/>
      <c r="E160" s="77"/>
      <c r="F160" s="75"/>
      <c r="G160" s="82" t="s">
        <v>120</v>
      </c>
      <c r="H160" s="83">
        <f>H158*H159</f>
        <v>0</v>
      </c>
      <c r="I160" s="74"/>
    </row>
    <row r="161" spans="1:9">
      <c r="A161" s="74"/>
      <c r="B161" s="77"/>
      <c r="C161" s="77"/>
      <c r="D161" s="77"/>
      <c r="E161" s="77"/>
      <c r="F161" s="74"/>
      <c r="G161" s="74"/>
      <c r="H161" s="74"/>
      <c r="I161" s="74"/>
    </row>
    <row r="162" spans="1:9">
      <c r="A162" s="74"/>
      <c r="B162" s="77"/>
      <c r="C162" s="77"/>
      <c r="D162" s="77"/>
      <c r="E162" s="77"/>
      <c r="F162" s="74"/>
      <c r="G162" s="74"/>
      <c r="H162" s="74"/>
      <c r="I162" s="74"/>
    </row>
    <row r="163" spans="1:9">
      <c r="A163" s="74"/>
      <c r="B163" s="77"/>
      <c r="C163" s="77"/>
      <c r="D163" s="77"/>
      <c r="E163" s="77"/>
      <c r="F163" s="74"/>
      <c r="G163" s="74"/>
      <c r="H163" s="74"/>
      <c r="I163" s="74"/>
    </row>
    <row r="164" spans="1:9">
      <c r="A164" s="74"/>
      <c r="B164" s="197" t="s">
        <v>207</v>
      </c>
      <c r="C164" s="196"/>
      <c r="D164" s="196"/>
      <c r="E164" s="196"/>
      <c r="F164" s="74"/>
      <c r="G164" s="74"/>
      <c r="H164" s="74"/>
      <c r="I164" s="74"/>
    </row>
    <row r="165" spans="1:9">
      <c r="A165" s="74"/>
      <c r="B165" s="74"/>
      <c r="C165" s="74"/>
      <c r="D165" s="74"/>
      <c r="E165" s="74"/>
      <c r="F165" s="74"/>
      <c r="G165" s="74"/>
      <c r="H165" s="74"/>
      <c r="I165" s="74"/>
    </row>
    <row r="166" spans="1:9" ht="30">
      <c r="A166" s="74"/>
      <c r="B166" s="78" t="s">
        <v>133</v>
      </c>
      <c r="C166" s="79" t="s">
        <v>209</v>
      </c>
      <c r="D166" s="79" t="s">
        <v>29</v>
      </c>
      <c r="E166" s="79" t="s">
        <v>23</v>
      </c>
      <c r="F166" s="74"/>
      <c r="G166" s="80" t="s">
        <v>144</v>
      </c>
      <c r="H166" s="74">
        <f>(E167*C167)+(E168*C168)+(E169*C169)+(E170*C170)</f>
        <v>3</v>
      </c>
      <c r="I166" s="74"/>
    </row>
    <row r="167" spans="1:9">
      <c r="A167" s="74"/>
      <c r="B167" s="74" t="s">
        <v>134</v>
      </c>
      <c r="C167" s="74">
        <v>0.5</v>
      </c>
      <c r="D167" s="74">
        <v>1</v>
      </c>
      <c r="E167" s="62">
        <v>2</v>
      </c>
      <c r="F167" s="74"/>
      <c r="G167" s="80" t="s">
        <v>139</v>
      </c>
      <c r="H167" s="74">
        <f>((E158*D158)-(E159*D159)-(E160*D160)-(E161*D161)-(E162*D162)-(E163*D163))</f>
        <v>0</v>
      </c>
      <c r="I167" s="74"/>
    </row>
    <row r="168" spans="1:9">
      <c r="A168" s="74"/>
      <c r="B168" s="74" t="s">
        <v>135</v>
      </c>
      <c r="C168" s="74">
        <v>0.5</v>
      </c>
      <c r="D168" s="74">
        <v>1</v>
      </c>
      <c r="E168" s="62">
        <v>2</v>
      </c>
      <c r="F168" s="74"/>
      <c r="G168" s="80" t="s">
        <v>141</v>
      </c>
      <c r="H168" s="74">
        <f>IF(H167&gt;4,-3,IF(H167&gt;3,-2,IF(H167&gt;2,-1,0)))</f>
        <v>0</v>
      </c>
      <c r="I168" s="74"/>
    </row>
    <row r="169" spans="1:9">
      <c r="A169" s="74"/>
      <c r="B169" s="74" t="s">
        <v>138</v>
      </c>
      <c r="C169" s="74">
        <v>0.5</v>
      </c>
      <c r="D169" s="74">
        <v>1</v>
      </c>
      <c r="E169" s="62">
        <v>2</v>
      </c>
      <c r="F169" s="74"/>
      <c r="G169" s="80" t="s">
        <v>143</v>
      </c>
      <c r="H169" s="86">
        <f>H155</f>
        <v>0</v>
      </c>
      <c r="I169" s="74"/>
    </row>
    <row r="170" spans="1:9">
      <c r="A170" s="84"/>
      <c r="B170" s="84" t="s">
        <v>136</v>
      </c>
      <c r="C170" s="84">
        <v>0.6</v>
      </c>
      <c r="D170" s="84">
        <v>1</v>
      </c>
      <c r="E170" s="77"/>
      <c r="F170" s="84"/>
      <c r="G170" s="85" t="s">
        <v>142</v>
      </c>
      <c r="H170" s="99">
        <f>(10+H168+H155)/10</f>
        <v>1</v>
      </c>
      <c r="I170" s="84"/>
    </row>
    <row r="171" spans="1:9">
      <c r="A171" s="84"/>
      <c r="B171" s="84" t="s">
        <v>137</v>
      </c>
      <c r="C171" s="84"/>
      <c r="D171" s="84">
        <v>1</v>
      </c>
      <c r="E171" s="77"/>
      <c r="F171" s="84"/>
      <c r="G171" s="88" t="s">
        <v>145</v>
      </c>
      <c r="H171" s="87">
        <f>H166*H170</f>
        <v>3</v>
      </c>
      <c r="I171" s="84"/>
    </row>
    <row r="172" spans="1:9">
      <c r="A172" s="84"/>
      <c r="B172" s="198" t="s">
        <v>210</v>
      </c>
      <c r="C172" s="84"/>
      <c r="D172" s="84"/>
      <c r="E172" s="84"/>
      <c r="F172" s="84"/>
      <c r="G172" s="84"/>
      <c r="H172" s="84"/>
      <c r="I172" s="84"/>
    </row>
    <row r="173" spans="1:9">
      <c r="A173" s="84"/>
      <c r="B173" s="91" t="str">
        <f>IF(H152&lt;0,"WARNING:  aircraft overloaded"," ")</f>
        <v xml:space="preserve"> </v>
      </c>
      <c r="C173" s="84"/>
      <c r="D173" s="84"/>
      <c r="E173" s="84"/>
      <c r="F173" s="84"/>
      <c r="G173" s="84"/>
      <c r="H173" s="84"/>
      <c r="I173" s="84"/>
    </row>
    <row r="174" spans="1:9">
      <c r="A174" s="84"/>
      <c r="B174" s="84"/>
      <c r="C174" s="84"/>
      <c r="D174" s="84"/>
      <c r="E174" s="84"/>
      <c r="F174" s="84"/>
      <c r="G174" s="84"/>
      <c r="H174" s="84"/>
      <c r="I174" s="84"/>
    </row>
    <row r="175" spans="1:9">
      <c r="A175" s="84"/>
      <c r="B175" s="84"/>
      <c r="C175" s="84"/>
      <c r="D175" s="84"/>
      <c r="E175" s="84"/>
      <c r="F175" s="84"/>
      <c r="G175" s="84"/>
      <c r="H175" s="84"/>
      <c r="I175" s="84"/>
    </row>
    <row r="177" spans="1:9">
      <c r="A177" s="74"/>
      <c r="B177" s="74"/>
      <c r="C177" s="74"/>
      <c r="D177" s="74"/>
      <c r="E177" s="74"/>
      <c r="F177" s="74"/>
      <c r="G177" s="74"/>
      <c r="H177" s="74"/>
      <c r="I177" s="74"/>
    </row>
    <row r="178" spans="1:9" ht="23">
      <c r="A178" s="74"/>
      <c r="B178" s="76" t="s">
        <v>151</v>
      </c>
      <c r="C178" s="74"/>
      <c r="D178" s="74"/>
      <c r="E178" s="74"/>
      <c r="F178" s="74"/>
      <c r="G178" s="74"/>
      <c r="H178" s="74"/>
      <c r="I178" s="74"/>
    </row>
    <row r="179" spans="1:9">
      <c r="A179" s="74"/>
      <c r="B179" s="61"/>
      <c r="C179" s="74"/>
      <c r="D179" s="61"/>
      <c r="E179" s="74"/>
      <c r="F179" s="61"/>
      <c r="G179" s="74"/>
      <c r="H179" s="90">
        <f>IF(F179=0,0,(F179+L7-(E185*D185)-(E186*D186)-(E187*D187)-(E188*D188)-(E189*D189)-(E190*D190)-(E194*D194)-(E195*D195)-(E196*D196)-(E197*D197)-(E198*D198)))</f>
        <v>0</v>
      </c>
      <c r="I179" s="74"/>
    </row>
    <row r="180" spans="1:9">
      <c r="A180" s="74"/>
      <c r="B180" s="74" t="s">
        <v>123</v>
      </c>
      <c r="C180" s="74"/>
      <c r="D180" s="74" t="s">
        <v>22</v>
      </c>
      <c r="E180" s="74"/>
      <c r="F180" s="74" t="s">
        <v>124</v>
      </c>
      <c r="G180" s="74"/>
      <c r="H180" s="74" t="s">
        <v>125</v>
      </c>
      <c r="I180" s="74"/>
    </row>
    <row r="181" spans="1:9">
      <c r="A181" s="74"/>
      <c r="B181" s="74"/>
      <c r="C181" s="74"/>
      <c r="D181" s="74"/>
      <c r="E181" s="74"/>
      <c r="F181" s="74"/>
      <c r="G181" s="74"/>
      <c r="H181" s="74"/>
      <c r="I181" s="74"/>
    </row>
    <row r="182" spans="1:9">
      <c r="A182" s="74"/>
      <c r="B182" s="61"/>
      <c r="C182" s="74"/>
      <c r="D182" s="61"/>
      <c r="E182" s="74"/>
      <c r="F182" s="61"/>
      <c r="G182" s="74"/>
      <c r="H182" s="61"/>
      <c r="I182" s="74"/>
    </row>
    <row r="183" spans="1:9">
      <c r="A183" s="74"/>
      <c r="B183" s="74" t="s">
        <v>153</v>
      </c>
      <c r="C183" s="74"/>
      <c r="D183" s="74" t="s">
        <v>128</v>
      </c>
      <c r="E183" s="74"/>
      <c r="F183" s="74" t="s">
        <v>126</v>
      </c>
      <c r="G183" s="74"/>
      <c r="H183" s="74" t="s">
        <v>140</v>
      </c>
      <c r="I183" s="74"/>
    </row>
    <row r="184" spans="1:9" ht="60">
      <c r="A184" s="74"/>
      <c r="B184" s="78" t="s">
        <v>132</v>
      </c>
      <c r="C184" s="79" t="s">
        <v>206</v>
      </c>
      <c r="D184" s="79" t="s">
        <v>29</v>
      </c>
      <c r="E184" s="79" t="s">
        <v>23</v>
      </c>
      <c r="F184" s="74"/>
      <c r="G184" s="74"/>
      <c r="H184" s="74"/>
      <c r="I184" s="74"/>
    </row>
    <row r="185" spans="1:9">
      <c r="A185" s="74"/>
      <c r="B185" s="77"/>
      <c r="C185" s="77"/>
      <c r="D185" s="77"/>
      <c r="E185" s="77"/>
      <c r="F185" s="74"/>
      <c r="G185" s="80" t="s">
        <v>131</v>
      </c>
      <c r="H185" s="74">
        <f>(C185*E185)+(C186*E186)+(C187*E187)+(C188*E188)+(C189*E189)+(C190*E190)</f>
        <v>0</v>
      </c>
      <c r="I185" s="74"/>
    </row>
    <row r="186" spans="1:9">
      <c r="A186" s="74"/>
      <c r="B186" s="77"/>
      <c r="C186" s="77"/>
      <c r="D186" s="77"/>
      <c r="E186" s="77"/>
      <c r="F186" s="74"/>
      <c r="G186" s="80" t="s">
        <v>130</v>
      </c>
      <c r="H186" s="81">
        <f>(10+F182)/10</f>
        <v>1</v>
      </c>
      <c r="I186" s="74"/>
    </row>
    <row r="187" spans="1:9">
      <c r="A187" s="74"/>
      <c r="B187" s="77"/>
      <c r="C187" s="77"/>
      <c r="D187" s="77"/>
      <c r="E187" s="77"/>
      <c r="F187" s="75"/>
      <c r="G187" s="82" t="s">
        <v>120</v>
      </c>
      <c r="H187" s="83">
        <f>H185*H186</f>
        <v>0</v>
      </c>
      <c r="I187" s="74"/>
    </row>
    <row r="188" spans="1:9">
      <c r="A188" s="74"/>
      <c r="B188" s="77"/>
      <c r="C188" s="77"/>
      <c r="D188" s="77"/>
      <c r="E188" s="77"/>
      <c r="F188" s="74"/>
      <c r="G188" s="74"/>
      <c r="H188" s="74"/>
      <c r="I188" s="74"/>
    </row>
    <row r="189" spans="1:9">
      <c r="A189" s="74"/>
      <c r="B189" s="77"/>
      <c r="C189" s="77"/>
      <c r="D189" s="77"/>
      <c r="E189" s="77"/>
      <c r="F189" s="74"/>
      <c r="G189" s="74"/>
      <c r="H189" s="74"/>
      <c r="I189" s="74"/>
    </row>
    <row r="190" spans="1:9">
      <c r="A190" s="74"/>
      <c r="B190" s="77"/>
      <c r="C190" s="77"/>
      <c r="D190" s="77"/>
      <c r="E190" s="77"/>
      <c r="F190" s="74"/>
      <c r="G190" s="74"/>
      <c r="H190" s="74"/>
      <c r="I190" s="74"/>
    </row>
    <row r="191" spans="1:9">
      <c r="A191" s="74"/>
      <c r="B191" s="197" t="s">
        <v>207</v>
      </c>
      <c r="C191" s="196"/>
      <c r="D191" s="196"/>
      <c r="E191" s="196"/>
      <c r="F191" s="74"/>
      <c r="G191" s="74"/>
      <c r="H191" s="74"/>
      <c r="I191" s="74"/>
    </row>
    <row r="192" spans="1:9">
      <c r="A192" s="74"/>
      <c r="B192" s="74"/>
      <c r="C192" s="74"/>
      <c r="D192" s="74"/>
      <c r="E192" s="74"/>
      <c r="F192" s="74"/>
      <c r="G192" s="74"/>
      <c r="H192" s="74"/>
      <c r="I192" s="74"/>
    </row>
    <row r="193" spans="1:9" ht="30">
      <c r="A193" s="74"/>
      <c r="B193" s="78" t="s">
        <v>133</v>
      </c>
      <c r="C193" s="79" t="s">
        <v>209</v>
      </c>
      <c r="D193" s="79" t="s">
        <v>29</v>
      </c>
      <c r="E193" s="79" t="s">
        <v>23</v>
      </c>
      <c r="F193" s="74"/>
      <c r="G193" s="80" t="s">
        <v>144</v>
      </c>
      <c r="H193" s="74">
        <f>(E194*C194)+(E195*C195)+(E196*C196)+(E197*C197)</f>
        <v>0</v>
      </c>
      <c r="I193" s="74"/>
    </row>
    <row r="194" spans="1:9">
      <c r="A194" s="74"/>
      <c r="B194" s="74" t="s">
        <v>134</v>
      </c>
      <c r="C194" s="74">
        <v>0.5</v>
      </c>
      <c r="D194" s="74">
        <v>1</v>
      </c>
      <c r="E194" s="62"/>
      <c r="F194" s="74"/>
      <c r="G194" s="80" t="s">
        <v>139</v>
      </c>
      <c r="H194" s="74">
        <f>((E185*D185)-(E186*D186)-(E187*D187)-(E188*D188)-(E189*D189)-(E190*D190))</f>
        <v>0</v>
      </c>
      <c r="I194" s="74"/>
    </row>
    <row r="195" spans="1:9">
      <c r="A195" s="74"/>
      <c r="B195" s="74" t="s">
        <v>135</v>
      </c>
      <c r="C195" s="74">
        <v>0.5</v>
      </c>
      <c r="D195" s="74">
        <v>1</v>
      </c>
      <c r="E195" s="62"/>
      <c r="F195" s="74"/>
      <c r="G195" s="80" t="s">
        <v>141</v>
      </c>
      <c r="H195" s="74">
        <f>IF(H194&gt;4,-3,IF(H194&gt;3,-2,IF(H194&gt;2,-1,0)))</f>
        <v>0</v>
      </c>
      <c r="I195" s="74"/>
    </row>
    <row r="196" spans="1:9">
      <c r="A196" s="74"/>
      <c r="B196" s="74" t="s">
        <v>138</v>
      </c>
      <c r="C196" s="74">
        <v>0.5</v>
      </c>
      <c r="D196" s="74">
        <v>1</v>
      </c>
      <c r="E196" s="62"/>
      <c r="F196" s="74"/>
      <c r="G196" s="80" t="s">
        <v>143</v>
      </c>
      <c r="H196" s="86">
        <f>H182</f>
        <v>0</v>
      </c>
      <c r="I196" s="74"/>
    </row>
    <row r="197" spans="1:9">
      <c r="A197" s="84"/>
      <c r="B197" s="84" t="s">
        <v>136</v>
      </c>
      <c r="C197" s="84">
        <v>0.6</v>
      </c>
      <c r="D197" s="84">
        <v>1</v>
      </c>
      <c r="E197" s="77"/>
      <c r="F197" s="84"/>
      <c r="G197" s="85" t="s">
        <v>142</v>
      </c>
      <c r="H197" s="99">
        <f>(10+H195+H182)/10</f>
        <v>1</v>
      </c>
      <c r="I197" s="84"/>
    </row>
    <row r="198" spans="1:9">
      <c r="A198" s="84"/>
      <c r="B198" s="84" t="s">
        <v>137</v>
      </c>
      <c r="C198" s="84"/>
      <c r="D198" s="84">
        <v>1</v>
      </c>
      <c r="E198" s="77"/>
      <c r="F198" s="84"/>
      <c r="G198" s="88" t="s">
        <v>145</v>
      </c>
      <c r="H198" s="87">
        <f>H193*H197</f>
        <v>0</v>
      </c>
      <c r="I198" s="84"/>
    </row>
    <row r="199" spans="1:9">
      <c r="A199" s="84"/>
      <c r="B199" s="198" t="s">
        <v>210</v>
      </c>
      <c r="C199" s="84"/>
      <c r="D199" s="84"/>
      <c r="E199" s="84"/>
      <c r="F199" s="84"/>
      <c r="G199" s="84"/>
      <c r="H199" s="84"/>
      <c r="I199" s="84"/>
    </row>
    <row r="200" spans="1:9">
      <c r="A200" s="84"/>
      <c r="B200" s="91" t="str">
        <f>IF(H179&lt;0,"WARNING:  aircraft overloaded"," ")</f>
        <v xml:space="preserve"> </v>
      </c>
      <c r="C200" s="84"/>
      <c r="D200" s="84"/>
      <c r="E200" s="84"/>
      <c r="F200" s="84"/>
      <c r="G200" s="84"/>
      <c r="H200" s="84"/>
      <c r="I200" s="84"/>
    </row>
    <row r="201" spans="1:9">
      <c r="A201" s="84"/>
      <c r="B201" s="84"/>
      <c r="C201" s="84"/>
      <c r="D201" s="84"/>
      <c r="E201" s="84"/>
      <c r="F201" s="84"/>
      <c r="G201" s="84"/>
      <c r="H201" s="84"/>
      <c r="I201" s="84"/>
    </row>
    <row r="202" spans="1:9">
      <c r="A202" s="84"/>
      <c r="B202" s="84"/>
      <c r="C202" s="84"/>
      <c r="D202" s="84"/>
      <c r="E202" s="84"/>
      <c r="F202" s="84"/>
      <c r="G202" s="84"/>
      <c r="H202" s="84"/>
      <c r="I202" s="84"/>
    </row>
    <row r="204" spans="1:9">
      <c r="A204" s="74"/>
      <c r="B204" s="74"/>
      <c r="C204" s="74"/>
      <c r="D204" s="74"/>
      <c r="E204" s="74"/>
      <c r="F204" s="74"/>
      <c r="G204" s="74"/>
      <c r="H204" s="74"/>
      <c r="I204" s="74"/>
    </row>
    <row r="205" spans="1:9" ht="23">
      <c r="A205" s="74"/>
      <c r="B205" s="76" t="s">
        <v>152</v>
      </c>
      <c r="C205" s="74"/>
      <c r="D205" s="74"/>
      <c r="E205" s="74"/>
      <c r="F205" s="74"/>
      <c r="G205" s="74"/>
      <c r="H205" s="74"/>
      <c r="I205" s="74"/>
    </row>
    <row r="206" spans="1:9">
      <c r="A206" s="74"/>
      <c r="B206" s="61"/>
      <c r="C206" s="74"/>
      <c r="D206" s="61"/>
      <c r="E206" s="74"/>
      <c r="F206" s="61"/>
      <c r="G206" s="74"/>
      <c r="H206" s="90">
        <f>IF(F206=0,0,(F206+L7-(E212*D212)-(E213*D213)-(E214*D214)-(E215*D215)-(E216*D216)-(E217*D217)-(E221*D221)-(E222*D222)-(E223*D223)-(E224*D224)-(E225*D225)))</f>
        <v>0</v>
      </c>
      <c r="I206" s="74"/>
    </row>
    <row r="207" spans="1:9">
      <c r="A207" s="74"/>
      <c r="B207" s="74" t="s">
        <v>123</v>
      </c>
      <c r="C207" s="74"/>
      <c r="D207" s="74" t="s">
        <v>22</v>
      </c>
      <c r="E207" s="74"/>
      <c r="F207" s="74" t="s">
        <v>124</v>
      </c>
      <c r="G207" s="74"/>
      <c r="H207" s="74" t="s">
        <v>125</v>
      </c>
      <c r="I207" s="74"/>
    </row>
    <row r="208" spans="1:9">
      <c r="A208" s="74"/>
      <c r="B208" s="74"/>
      <c r="C208" s="74"/>
      <c r="D208" s="74"/>
      <c r="E208" s="74"/>
      <c r="F208" s="74"/>
      <c r="G208" s="74"/>
      <c r="H208" s="74"/>
      <c r="I208" s="74"/>
    </row>
    <row r="209" spans="1:9">
      <c r="A209" s="74"/>
      <c r="B209" s="61"/>
      <c r="C209" s="74"/>
      <c r="D209" s="61"/>
      <c r="E209" s="74"/>
      <c r="F209" s="61"/>
      <c r="G209" s="74"/>
      <c r="H209" s="61"/>
      <c r="I209" s="74"/>
    </row>
    <row r="210" spans="1:9">
      <c r="A210" s="74"/>
      <c r="B210" s="74" t="s">
        <v>153</v>
      </c>
      <c r="C210" s="74"/>
      <c r="D210" s="74" t="s">
        <v>128</v>
      </c>
      <c r="E210" s="74"/>
      <c r="F210" s="74" t="s">
        <v>126</v>
      </c>
      <c r="G210" s="74"/>
      <c r="H210" s="74" t="s">
        <v>140</v>
      </c>
      <c r="I210" s="74"/>
    </row>
    <row r="211" spans="1:9" ht="60">
      <c r="A211" s="74"/>
      <c r="B211" s="78" t="s">
        <v>132</v>
      </c>
      <c r="C211" s="79" t="s">
        <v>206</v>
      </c>
      <c r="D211" s="79" t="s">
        <v>29</v>
      </c>
      <c r="E211" s="79" t="s">
        <v>23</v>
      </c>
      <c r="F211" s="74"/>
      <c r="G211" s="74"/>
      <c r="H211" s="74"/>
      <c r="I211" s="74"/>
    </row>
    <row r="212" spans="1:9">
      <c r="A212" s="74"/>
      <c r="B212" s="77"/>
      <c r="C212" s="77"/>
      <c r="D212" s="77"/>
      <c r="E212" s="77"/>
      <c r="F212" s="74"/>
      <c r="G212" s="80" t="s">
        <v>131</v>
      </c>
      <c r="H212" s="74">
        <f>(C212*E212)+(C213*E213)+(C214*E214)+(C215*E215)+(C216*E216)+(C217*E217)</f>
        <v>0</v>
      </c>
      <c r="I212" s="74"/>
    </row>
    <row r="213" spans="1:9">
      <c r="A213" s="74"/>
      <c r="B213" s="77"/>
      <c r="C213" s="77"/>
      <c r="D213" s="77"/>
      <c r="E213" s="77"/>
      <c r="F213" s="74"/>
      <c r="G213" s="80" t="s">
        <v>130</v>
      </c>
      <c r="H213" s="81">
        <f>(10+F209)/10</f>
        <v>1</v>
      </c>
      <c r="I213" s="74"/>
    </row>
    <row r="214" spans="1:9">
      <c r="A214" s="74"/>
      <c r="B214" s="77"/>
      <c r="C214" s="77"/>
      <c r="D214" s="77"/>
      <c r="E214" s="77"/>
      <c r="F214" s="75"/>
      <c r="G214" s="82" t="s">
        <v>120</v>
      </c>
      <c r="H214" s="83">
        <f>H212*H213</f>
        <v>0</v>
      </c>
      <c r="I214" s="74"/>
    </row>
    <row r="215" spans="1:9">
      <c r="A215" s="74"/>
      <c r="B215" s="77"/>
      <c r="C215" s="77"/>
      <c r="D215" s="77"/>
      <c r="E215" s="77"/>
      <c r="F215" s="74"/>
      <c r="G215" s="74"/>
      <c r="H215" s="74"/>
      <c r="I215" s="74"/>
    </row>
    <row r="216" spans="1:9">
      <c r="A216" s="74"/>
      <c r="B216" s="77"/>
      <c r="C216" s="77"/>
      <c r="D216" s="77"/>
      <c r="E216" s="77"/>
      <c r="F216" s="74"/>
      <c r="G216" s="74"/>
      <c r="H216" s="74"/>
      <c r="I216" s="74"/>
    </row>
    <row r="217" spans="1:9">
      <c r="A217" s="74"/>
      <c r="B217" s="77"/>
      <c r="C217" s="77"/>
      <c r="D217" s="77"/>
      <c r="E217" s="77"/>
      <c r="F217" s="74"/>
      <c r="G217" s="74"/>
      <c r="H217" s="74"/>
      <c r="I217" s="74"/>
    </row>
    <row r="218" spans="1:9">
      <c r="A218" s="74"/>
      <c r="B218" s="197" t="s">
        <v>207</v>
      </c>
      <c r="C218" s="196"/>
      <c r="D218" s="196"/>
      <c r="E218" s="196"/>
      <c r="F218" s="74"/>
      <c r="G218" s="74"/>
      <c r="H218" s="74"/>
      <c r="I218" s="74"/>
    </row>
    <row r="219" spans="1:9">
      <c r="A219" s="74"/>
      <c r="B219" s="74"/>
      <c r="C219" s="74"/>
      <c r="D219" s="74"/>
      <c r="E219" s="74"/>
      <c r="F219" s="74"/>
      <c r="G219" s="74"/>
      <c r="H219" s="74"/>
      <c r="I219" s="74"/>
    </row>
    <row r="220" spans="1:9" ht="30">
      <c r="A220" s="74"/>
      <c r="B220" s="78" t="s">
        <v>133</v>
      </c>
      <c r="C220" s="79" t="s">
        <v>209</v>
      </c>
      <c r="D220" s="79" t="s">
        <v>29</v>
      </c>
      <c r="E220" s="79" t="s">
        <v>23</v>
      </c>
      <c r="F220" s="74"/>
      <c r="G220" s="80" t="s">
        <v>144</v>
      </c>
      <c r="H220" s="74">
        <f>(E221*C221)+(E222*C222)+(E223*C223)+(E224*C224)</f>
        <v>0</v>
      </c>
      <c r="I220" s="74"/>
    </row>
    <row r="221" spans="1:9">
      <c r="A221" s="74"/>
      <c r="B221" s="74" t="s">
        <v>134</v>
      </c>
      <c r="C221" s="74">
        <v>0.5</v>
      </c>
      <c r="D221" s="74">
        <v>1</v>
      </c>
      <c r="E221" s="62">
        <v>0</v>
      </c>
      <c r="F221" s="74"/>
      <c r="G221" s="80" t="s">
        <v>139</v>
      </c>
      <c r="H221" s="74">
        <f>((E212*D212)-(E213*D213)-(E214*D214)-(E215*D215)-(E216*D216)-(E217*D217))</f>
        <v>0</v>
      </c>
      <c r="I221" s="74"/>
    </row>
    <row r="222" spans="1:9">
      <c r="A222" s="74"/>
      <c r="B222" s="74" t="s">
        <v>135</v>
      </c>
      <c r="C222" s="74">
        <v>0.5</v>
      </c>
      <c r="D222" s="74">
        <v>1</v>
      </c>
      <c r="E222" s="62">
        <v>0</v>
      </c>
      <c r="F222" s="74"/>
      <c r="G222" s="80" t="s">
        <v>141</v>
      </c>
      <c r="H222" s="74">
        <f>IF(H221&gt;4,-3,IF(H221&gt;3,-2,IF(H221&gt;2,-1,0)))</f>
        <v>0</v>
      </c>
      <c r="I222" s="74"/>
    </row>
    <row r="223" spans="1:9">
      <c r="A223" s="74"/>
      <c r="B223" s="74" t="s">
        <v>138</v>
      </c>
      <c r="C223" s="74">
        <v>0.5</v>
      </c>
      <c r="D223" s="74">
        <v>1</v>
      </c>
      <c r="E223" s="62">
        <v>0</v>
      </c>
      <c r="F223" s="74"/>
      <c r="G223" s="80" t="s">
        <v>143</v>
      </c>
      <c r="H223" s="86">
        <f>H209</f>
        <v>0</v>
      </c>
      <c r="I223" s="74"/>
    </row>
    <row r="224" spans="1:9">
      <c r="A224" s="84"/>
      <c r="B224" s="84" t="s">
        <v>136</v>
      </c>
      <c r="C224" s="84">
        <v>0.6</v>
      </c>
      <c r="D224" s="84">
        <v>1</v>
      </c>
      <c r="E224" s="77">
        <v>0</v>
      </c>
      <c r="F224" s="84"/>
      <c r="G224" s="85" t="s">
        <v>142</v>
      </c>
      <c r="H224" s="99">
        <f>(10+H222+H209)/10</f>
        <v>1</v>
      </c>
      <c r="I224" s="84"/>
    </row>
    <row r="225" spans="1:9">
      <c r="A225" s="84"/>
      <c r="B225" s="84" t="s">
        <v>137</v>
      </c>
      <c r="C225" s="84"/>
      <c r="D225" s="84">
        <v>1</v>
      </c>
      <c r="E225" s="77">
        <v>0</v>
      </c>
      <c r="F225" s="84"/>
      <c r="G225" s="88" t="s">
        <v>145</v>
      </c>
      <c r="H225" s="87">
        <f>H220*H224</f>
        <v>0</v>
      </c>
      <c r="I225" s="84"/>
    </row>
    <row r="226" spans="1:9">
      <c r="A226" s="84"/>
      <c r="B226" s="198" t="s">
        <v>210</v>
      </c>
      <c r="C226" s="84"/>
      <c r="D226" s="84"/>
      <c r="E226" s="84"/>
      <c r="F226" s="84"/>
      <c r="G226" s="84"/>
      <c r="H226" s="84"/>
      <c r="I226" s="84"/>
    </row>
    <row r="227" spans="1:9">
      <c r="A227" s="84"/>
      <c r="B227" s="91" t="str">
        <f>IF(H206&lt;0,"WARNING:  aircraft overloaded"," ")</f>
        <v xml:space="preserve"> </v>
      </c>
      <c r="C227" s="84"/>
      <c r="D227" s="84"/>
      <c r="E227" s="84"/>
      <c r="F227" s="84"/>
      <c r="G227" s="84"/>
      <c r="H227" s="84"/>
      <c r="I227" s="84"/>
    </row>
    <row r="228" spans="1:9">
      <c r="A228" s="84"/>
      <c r="B228" s="84"/>
      <c r="C228" s="84"/>
      <c r="D228" s="84"/>
      <c r="E228" s="84"/>
      <c r="F228" s="84"/>
      <c r="G228" s="84"/>
      <c r="H228" s="84"/>
      <c r="I228" s="84"/>
    </row>
    <row r="229" spans="1:9">
      <c r="A229" s="84"/>
      <c r="B229" s="84"/>
      <c r="C229" s="84"/>
      <c r="D229" s="84"/>
      <c r="E229" s="84"/>
      <c r="F229" s="84"/>
      <c r="G229" s="84"/>
      <c r="H229" s="84"/>
      <c r="I229" s="84"/>
    </row>
  </sheetData>
  <conditionalFormatting sqref="G4:G9">
    <cfRule type="cellIs" dxfId="3" priority="3" operator="lessThan">
      <formula>1</formula>
    </cfRule>
    <cfRule type="cellIs" dxfId="2" priority="4" operator="greaterThan">
      <formula>0</formula>
    </cfRule>
  </conditionalFormatting>
  <conditionalFormatting sqref="K8">
    <cfRule type="containsText" dxfId="1" priority="1" stopIfTrue="1" operator="containsText" text="Insufficient">
      <formula>NOT(ISERROR(SEARCH("Insufficient",K8)))</formula>
    </cfRule>
    <cfRule type="containsText" dxfId="0" priority="2" operator="containsText" text="Sufficient">
      <formula>NOT(ISERROR(SEARCH("Sufficient",K8)))</formula>
    </cfRule>
  </conditionalFormatting>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9"/>
  <sheetViews>
    <sheetView workbookViewId="0">
      <selection activeCell="J15" sqref="J15"/>
    </sheetView>
  </sheetViews>
  <sheetFormatPr baseColWidth="10" defaultRowHeight="15" x14ac:dyDescent="0"/>
  <cols>
    <col min="1" max="1" width="5.1640625" customWidth="1"/>
    <col min="2" max="2" width="3.5" customWidth="1"/>
    <col min="3" max="3" width="24.33203125" customWidth="1"/>
    <col min="10" max="10" width="56.6640625" customWidth="1"/>
  </cols>
  <sheetData>
    <row r="2" spans="2:11" ht="23">
      <c r="B2" s="31"/>
      <c r="C2" s="100" t="s">
        <v>164</v>
      </c>
      <c r="D2" s="31"/>
      <c r="E2" s="31"/>
      <c r="F2" s="31"/>
      <c r="G2" s="31"/>
      <c r="H2" s="31"/>
      <c r="I2" s="31"/>
      <c r="J2" s="31"/>
      <c r="K2" s="31"/>
    </row>
    <row r="3" spans="2:11">
      <c r="B3" s="31"/>
      <c r="C3" s="101" t="s">
        <v>119</v>
      </c>
      <c r="D3" s="31" t="str">
        <f>Loadout!$K$6</f>
        <v>Disguised Baby Milk Factory</v>
      </c>
      <c r="E3" s="31"/>
      <c r="F3" s="31"/>
      <c r="G3" s="31"/>
      <c r="H3" s="31"/>
      <c r="I3" s="31"/>
      <c r="J3" s="31"/>
      <c r="K3" s="31"/>
    </row>
    <row r="4" spans="2:11">
      <c r="B4" s="31"/>
      <c r="C4" s="101" t="s">
        <v>167</v>
      </c>
      <c r="D4" s="190">
        <f>Loadout!$K$3</f>
        <v>6</v>
      </c>
      <c r="E4" s="31"/>
      <c r="F4" s="31"/>
      <c r="G4" s="31"/>
      <c r="H4" s="31"/>
      <c r="I4" s="31"/>
      <c r="J4" s="31"/>
      <c r="K4" s="31"/>
    </row>
    <row r="5" spans="2:11">
      <c r="B5" s="31"/>
      <c r="C5" s="101" t="s">
        <v>201</v>
      </c>
      <c r="D5" s="190">
        <f>Loadout!$N$12</f>
        <v>3.88</v>
      </c>
      <c r="E5" s="31"/>
      <c r="F5" s="31"/>
      <c r="G5" s="31"/>
      <c r="H5" s="31"/>
      <c r="I5" s="31"/>
      <c r="J5" s="31"/>
      <c r="K5" s="31"/>
    </row>
    <row r="6" spans="2:11">
      <c r="B6" s="31"/>
      <c r="C6" s="101" t="s">
        <v>165</v>
      </c>
      <c r="D6" s="193">
        <f>Loadout!$M$3</f>
        <v>7.6199999999999992</v>
      </c>
      <c r="E6" s="31"/>
      <c r="F6" s="31"/>
      <c r="G6" s="31"/>
      <c r="H6" s="31"/>
      <c r="I6" s="31"/>
      <c r="J6" s="31"/>
      <c r="K6" s="31"/>
    </row>
    <row r="7" spans="2:11">
      <c r="B7" s="31"/>
      <c r="C7" s="101" t="s">
        <v>166</v>
      </c>
      <c r="D7" s="193">
        <f>Loadout!$N$11</f>
        <v>5.7</v>
      </c>
      <c r="E7" s="31"/>
      <c r="F7" s="31"/>
      <c r="G7" s="31"/>
      <c r="H7" s="31"/>
      <c r="I7" s="31"/>
      <c r="J7" s="31"/>
      <c r="K7" s="31"/>
    </row>
    <row r="8" spans="2:11">
      <c r="B8" s="31"/>
      <c r="C8" s="101"/>
      <c r="D8" s="102"/>
      <c r="E8" s="31"/>
      <c r="F8" s="31"/>
      <c r="G8" s="31"/>
      <c r="H8" s="31"/>
      <c r="I8" s="31"/>
      <c r="J8" s="31"/>
      <c r="K8" s="31"/>
    </row>
    <row r="9" spans="2:11" ht="30">
      <c r="B9" s="108"/>
      <c r="C9" s="106" t="s">
        <v>123</v>
      </c>
      <c r="D9" s="106" t="s">
        <v>22</v>
      </c>
      <c r="E9" s="106" t="s">
        <v>153</v>
      </c>
      <c r="F9" s="107" t="s">
        <v>162</v>
      </c>
      <c r="G9" s="107" t="s">
        <v>163</v>
      </c>
      <c r="H9" s="107" t="s">
        <v>160</v>
      </c>
      <c r="I9" s="107" t="s">
        <v>161</v>
      </c>
      <c r="J9" s="101" t="s">
        <v>168</v>
      </c>
      <c r="K9" s="31"/>
    </row>
    <row r="10" spans="2:11">
      <c r="B10" s="31">
        <v>1</v>
      </c>
      <c r="C10" s="110" t="str">
        <f>Loadout!$B$17</f>
        <v>Extra</v>
      </c>
      <c r="D10" s="110" t="str">
        <f>Loadout!$D$17</f>
        <v>A-6E</v>
      </c>
      <c r="E10" s="110" t="str">
        <f>Loadout!$B$20</f>
        <v>PGM Strike</v>
      </c>
      <c r="F10" s="191">
        <f>Loadout!$H$25</f>
        <v>4.42</v>
      </c>
      <c r="G10" s="191">
        <f>Loadout!$H$36</f>
        <v>0</v>
      </c>
      <c r="H10" s="104">
        <f>F10/D6</f>
        <v>0.58005249343832022</v>
      </c>
      <c r="I10" s="104">
        <f>G10/D7</f>
        <v>0</v>
      </c>
      <c r="J10" s="103" t="s">
        <v>239</v>
      </c>
      <c r="K10" s="31"/>
    </row>
    <row r="11" spans="2:11">
      <c r="B11" s="31">
        <v>2</v>
      </c>
      <c r="C11" s="111" t="str">
        <f>Loadout!$B$44</f>
        <v>Pluto</v>
      </c>
      <c r="D11" s="111" t="str">
        <f>Loadout!$D$44</f>
        <v>A-7E</v>
      </c>
      <c r="E11" s="111" t="str">
        <f>Loadout!$B$47</f>
        <v>Iron strike</v>
      </c>
      <c r="F11" s="192">
        <f>Loadout!$H$52</f>
        <v>1</v>
      </c>
      <c r="G11" s="192">
        <f>Loadout!$H$63</f>
        <v>0</v>
      </c>
      <c r="H11" s="105">
        <f>F11/D6</f>
        <v>0.13123359580052496</v>
      </c>
      <c r="I11" s="105">
        <f>G11/D7</f>
        <v>0</v>
      </c>
      <c r="J11" s="61"/>
      <c r="K11" s="31"/>
    </row>
    <row r="12" spans="2:11">
      <c r="B12" s="31">
        <v>3</v>
      </c>
      <c r="C12" s="110" t="str">
        <f>Loadout!$B$71</f>
        <v>Tuna</v>
      </c>
      <c r="D12" s="110" t="str">
        <f>Loadout!$D$71</f>
        <v>A-7E</v>
      </c>
      <c r="E12" s="110" t="str">
        <f>Loadout!$B$74</f>
        <v>Iron strike</v>
      </c>
      <c r="F12" s="191">
        <f>Loadout!$H$79</f>
        <v>0.8</v>
      </c>
      <c r="G12" s="191">
        <f>Loadout!$H$90</f>
        <v>0</v>
      </c>
      <c r="H12" s="104">
        <f>F12/D6</f>
        <v>0.10498687664041996</v>
      </c>
      <c r="I12" s="104">
        <f>G12/D7</f>
        <v>0</v>
      </c>
      <c r="J12" s="103"/>
      <c r="K12" s="31"/>
    </row>
    <row r="13" spans="2:11">
      <c r="B13" s="31">
        <v>4</v>
      </c>
      <c r="C13" s="111" t="str">
        <f>Loadout!$B$98</f>
        <v>Shifty</v>
      </c>
      <c r="D13" s="111" t="str">
        <f>Loadout!$D$98</f>
        <v>A-6E</v>
      </c>
      <c r="E13" s="111" t="str">
        <f>Loadout!$B$101</f>
        <v>Iron strike</v>
      </c>
      <c r="F13" s="192">
        <f>Loadout!$H$106</f>
        <v>1.4</v>
      </c>
      <c r="G13" s="192">
        <f>Loadout!$H$117</f>
        <v>0</v>
      </c>
      <c r="H13" s="105">
        <f>F13/D6</f>
        <v>0.18372703412073491</v>
      </c>
      <c r="I13" s="105">
        <f>G13/D7</f>
        <v>0</v>
      </c>
      <c r="J13" s="61"/>
      <c r="K13" s="31"/>
    </row>
    <row r="14" spans="2:11">
      <c r="B14" s="31">
        <v>5</v>
      </c>
      <c r="C14" s="109" t="str">
        <f>Loadout!$B$125</f>
        <v>Teflon</v>
      </c>
      <c r="D14" s="109" t="str">
        <f>Loadout!$D$125</f>
        <v>F-14A</v>
      </c>
      <c r="E14" s="109" t="str">
        <f>Loadout!$B$128</f>
        <v>CAP/Escort</v>
      </c>
      <c r="F14" s="191">
        <f>Loadout!$H$133</f>
        <v>0</v>
      </c>
      <c r="G14" s="191">
        <f>Loadout!$H$144</f>
        <v>2.7</v>
      </c>
      <c r="H14" s="104">
        <f>F14/D6</f>
        <v>0</v>
      </c>
      <c r="I14" s="104">
        <f>G14/D7</f>
        <v>0.47368421052631582</v>
      </c>
      <c r="J14" s="103"/>
      <c r="K14" s="31"/>
    </row>
    <row r="15" spans="2:11">
      <c r="B15" s="31">
        <v>6</v>
      </c>
      <c r="C15" s="112" t="str">
        <f>Loadout!$B$152</f>
        <v>Waldo</v>
      </c>
      <c r="D15" s="112" t="str">
        <f>Loadout!$D$152</f>
        <v>F-14A</v>
      </c>
      <c r="E15" s="112" t="str">
        <f>Loadout!$B$155</f>
        <v>CAP/escort</v>
      </c>
      <c r="F15" s="192">
        <f>Loadout!$H$160</f>
        <v>0</v>
      </c>
      <c r="G15" s="192">
        <f>Loadout!$H$171</f>
        <v>3</v>
      </c>
      <c r="H15" s="105">
        <f>F15/D6</f>
        <v>0</v>
      </c>
      <c r="I15" s="105">
        <f>G15/D7</f>
        <v>0.52631578947368418</v>
      </c>
      <c r="J15" s="61"/>
      <c r="K15" s="31"/>
    </row>
    <row r="16" spans="2:11">
      <c r="B16" s="31">
        <v>7</v>
      </c>
      <c r="C16" s="109">
        <f>Loadout!$B$179</f>
        <v>0</v>
      </c>
      <c r="D16" s="109">
        <f>Loadout!$D$179</f>
        <v>0</v>
      </c>
      <c r="E16" s="109">
        <f>Loadout!$B$182</f>
        <v>0</v>
      </c>
      <c r="F16" s="191">
        <f>Loadout!$H$187</f>
        <v>0</v>
      </c>
      <c r="G16" s="191">
        <f>Loadout!$H$198</f>
        <v>0</v>
      </c>
      <c r="H16" s="104">
        <f>F16/D6</f>
        <v>0</v>
      </c>
      <c r="I16" s="104">
        <f>G16/D7</f>
        <v>0</v>
      </c>
      <c r="J16" s="103"/>
      <c r="K16" s="31"/>
    </row>
    <row r="17" spans="2:11">
      <c r="B17" s="31">
        <v>8</v>
      </c>
      <c r="C17" s="112">
        <f>Loadout!$B$206</f>
        <v>0</v>
      </c>
      <c r="D17" s="112">
        <f>Loadout!$D$206</f>
        <v>0</v>
      </c>
      <c r="E17" s="112">
        <f>Loadout!$B$209</f>
        <v>0</v>
      </c>
      <c r="F17" s="192">
        <f>Loadout!$H$214</f>
        <v>0</v>
      </c>
      <c r="G17" s="192">
        <f>Loadout!$H$225</f>
        <v>0</v>
      </c>
      <c r="H17" s="105">
        <f>F17/D6</f>
        <v>0</v>
      </c>
      <c r="I17" s="105">
        <f>G17/D7</f>
        <v>0</v>
      </c>
      <c r="J17" s="61"/>
      <c r="K17" s="31"/>
    </row>
    <row r="18" spans="2:11">
      <c r="B18" s="31"/>
      <c r="C18" s="31"/>
      <c r="D18" s="31"/>
      <c r="E18" s="31"/>
      <c r="F18" s="31"/>
      <c r="G18" s="31"/>
      <c r="H18" s="31"/>
      <c r="I18" s="31"/>
      <c r="J18" s="31"/>
      <c r="K18" s="31"/>
    </row>
    <row r="19" spans="2:11">
      <c r="B19" s="31"/>
      <c r="C19" s="31"/>
      <c r="D19" s="31"/>
      <c r="E19" s="31"/>
      <c r="F19" s="31"/>
      <c r="G19" s="31"/>
      <c r="H19" s="31"/>
      <c r="I19" s="31"/>
      <c r="J19" s="31"/>
      <c r="K19" s="31"/>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Weaponeering</vt:lpstr>
      <vt:lpstr>Enemy Air</vt:lpstr>
      <vt:lpstr>Loadout</vt:lpstr>
      <vt:lpstr>Flight</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 Lee</dc:creator>
  <cp:lastModifiedBy>Robin Lee</cp:lastModifiedBy>
  <dcterms:created xsi:type="dcterms:W3CDTF">2012-08-13T07:00:30Z</dcterms:created>
  <dcterms:modified xsi:type="dcterms:W3CDTF">2012-08-16T05:19:58Z</dcterms:modified>
</cp:coreProperties>
</file>